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591ebc9c4455d64/Documents/CATERING/Excel/"/>
    </mc:Choice>
  </mc:AlternateContent>
  <xr:revisionPtr revIDLastSave="178" documentId="11_B199C26ED27D53A59A78AAC2EECADABC9349722B" xr6:coauthVersionLast="47" xr6:coauthVersionMax="47" xr10:uidLastSave="{6645F60E-4F46-488A-A6FC-60F00B880AE9}"/>
  <bookViews>
    <workbookView xWindow="-120" yWindow="-120" windowWidth="29040" windowHeight="17520" firstSheet="4" activeTab="4" xr2:uid="{00000000-000D-0000-FFFF-FFFF00000000}"/>
  </bookViews>
  <sheets>
    <sheet name="Instructions" sheetId="1" state="hidden" r:id="rId1"/>
    <sheet name="Config" sheetId="2" state="hidden" r:id="rId2"/>
    <sheet name="Menu" sheetId="3" state="hidden" r:id="rId3"/>
    <sheet name="Lists" sheetId="4" state="hidden" r:id="rId4"/>
    <sheet name="Event" sheetId="5" r:id="rId5"/>
    <sheet name="Guest Pre-Orders" sheetId="6" r:id="rId6"/>
    <sheet name="Counts Pre-Orders" sheetId="7" state="hidden" r:id="rId7"/>
    <sheet name="Item Totals" sheetId="8" state="hidden" r:id="rId8"/>
    <sheet name="Summary" sheetId="9" state="hidden" r:id="rId9"/>
    <sheet name="Kitchen Prep"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L32" i="6"/>
  <c r="B10" i="9" l="1"/>
  <c r="B8" i="9"/>
  <c r="B5" i="9"/>
  <c r="B3" i="9"/>
  <c r="C151" i="7"/>
  <c r="E151" i="7" s="1"/>
  <c r="C150" i="7"/>
  <c r="E150" i="7" s="1"/>
  <c r="C149" i="7"/>
  <c r="E149" i="7" s="1"/>
  <c r="C148" i="7"/>
  <c r="E148" i="7" s="1"/>
  <c r="C147" i="7"/>
  <c r="E147" i="7" s="1"/>
  <c r="C146" i="7"/>
  <c r="E146" i="7" s="1"/>
  <c r="C145" i="7"/>
  <c r="E145" i="7" s="1"/>
  <c r="C144" i="7"/>
  <c r="E144" i="7" s="1"/>
  <c r="C143" i="7"/>
  <c r="E143" i="7" s="1"/>
  <c r="C142" i="7"/>
  <c r="E142" i="7" s="1"/>
  <c r="C141" i="7"/>
  <c r="E141" i="7" s="1"/>
  <c r="C140" i="7"/>
  <c r="E140" i="7" s="1"/>
  <c r="C139" i="7"/>
  <c r="E139" i="7" s="1"/>
  <c r="C138" i="7"/>
  <c r="E138" i="7" s="1"/>
  <c r="C137" i="7"/>
  <c r="E137" i="7" s="1"/>
  <c r="C136" i="7"/>
  <c r="E136" i="7" s="1"/>
  <c r="C135" i="7"/>
  <c r="E135" i="7" s="1"/>
  <c r="C134" i="7"/>
  <c r="E134" i="7" s="1"/>
  <c r="C133" i="7"/>
  <c r="E133" i="7" s="1"/>
  <c r="C132" i="7"/>
  <c r="E132" i="7" s="1"/>
  <c r="C131" i="7"/>
  <c r="E131" i="7" s="1"/>
  <c r="C130" i="7"/>
  <c r="E130" i="7" s="1"/>
  <c r="C129" i="7"/>
  <c r="E129" i="7" s="1"/>
  <c r="C128" i="7"/>
  <c r="E128" i="7" s="1"/>
  <c r="C127" i="7"/>
  <c r="E127" i="7" s="1"/>
  <c r="C126" i="7"/>
  <c r="E126" i="7" s="1"/>
  <c r="C125" i="7"/>
  <c r="E125" i="7" s="1"/>
  <c r="C124" i="7"/>
  <c r="E124" i="7" s="1"/>
  <c r="C123" i="7"/>
  <c r="E123" i="7" s="1"/>
  <c r="C122" i="7"/>
  <c r="E122" i="7" s="1"/>
  <c r="C121" i="7"/>
  <c r="E121" i="7" s="1"/>
  <c r="C120" i="7"/>
  <c r="E120" i="7" s="1"/>
  <c r="C119" i="7"/>
  <c r="E119" i="7" s="1"/>
  <c r="C118" i="7"/>
  <c r="E118" i="7" s="1"/>
  <c r="C117" i="7"/>
  <c r="E117" i="7" s="1"/>
  <c r="C116" i="7"/>
  <c r="E116" i="7" s="1"/>
  <c r="C115" i="7"/>
  <c r="E115" i="7" s="1"/>
  <c r="C114" i="7"/>
  <c r="E114" i="7" s="1"/>
  <c r="C113" i="7"/>
  <c r="E113" i="7" s="1"/>
  <c r="C112" i="7"/>
  <c r="E112" i="7" s="1"/>
  <c r="C111" i="7"/>
  <c r="E111" i="7" s="1"/>
  <c r="C110" i="7"/>
  <c r="E110" i="7" s="1"/>
  <c r="C109" i="7"/>
  <c r="E109" i="7" s="1"/>
  <c r="C108" i="7"/>
  <c r="E108" i="7" s="1"/>
  <c r="C107" i="7"/>
  <c r="E107" i="7" s="1"/>
  <c r="C106" i="7"/>
  <c r="E106" i="7" s="1"/>
  <c r="C105" i="7"/>
  <c r="E105" i="7" s="1"/>
  <c r="C104" i="7"/>
  <c r="E104" i="7" s="1"/>
  <c r="C103" i="7"/>
  <c r="E103" i="7" s="1"/>
  <c r="C102" i="7"/>
  <c r="E102" i="7" s="1"/>
  <c r="C101" i="7"/>
  <c r="E101" i="7" s="1"/>
  <c r="C100" i="7"/>
  <c r="E100" i="7" s="1"/>
  <c r="C99" i="7"/>
  <c r="E99" i="7" s="1"/>
  <c r="C98" i="7"/>
  <c r="E98" i="7" s="1"/>
  <c r="C97" i="7"/>
  <c r="E97" i="7" s="1"/>
  <c r="C96" i="7"/>
  <c r="E96" i="7" s="1"/>
  <c r="C95" i="7"/>
  <c r="E95" i="7" s="1"/>
  <c r="C94" i="7"/>
  <c r="E94" i="7" s="1"/>
  <c r="C93" i="7"/>
  <c r="E93" i="7" s="1"/>
  <c r="C92" i="7"/>
  <c r="E92" i="7" s="1"/>
  <c r="C91" i="7"/>
  <c r="E91" i="7" s="1"/>
  <c r="C90" i="7"/>
  <c r="E90" i="7" s="1"/>
  <c r="C89" i="7"/>
  <c r="E89" i="7" s="1"/>
  <c r="C88" i="7"/>
  <c r="E88" i="7" s="1"/>
  <c r="C87" i="7"/>
  <c r="E87" i="7" s="1"/>
  <c r="C86" i="7"/>
  <c r="E86" i="7" s="1"/>
  <c r="C85" i="7"/>
  <c r="E85" i="7" s="1"/>
  <c r="C84" i="7"/>
  <c r="E84" i="7" s="1"/>
  <c r="C83" i="7"/>
  <c r="E83" i="7" s="1"/>
  <c r="C82" i="7"/>
  <c r="E82" i="7" s="1"/>
  <c r="C81" i="7"/>
  <c r="E81" i="7" s="1"/>
  <c r="C80" i="7"/>
  <c r="E80" i="7" s="1"/>
  <c r="C79" i="7"/>
  <c r="E79" i="7" s="1"/>
  <c r="C78" i="7"/>
  <c r="E78" i="7" s="1"/>
  <c r="C77" i="7"/>
  <c r="E77" i="7" s="1"/>
  <c r="C76" i="7"/>
  <c r="E76" i="7" s="1"/>
  <c r="C75" i="7"/>
  <c r="E75" i="7" s="1"/>
  <c r="C74" i="7"/>
  <c r="E74" i="7" s="1"/>
  <c r="C73" i="7"/>
  <c r="E73" i="7" s="1"/>
  <c r="C72" i="7"/>
  <c r="E72" i="7" s="1"/>
  <c r="C71" i="7"/>
  <c r="E71" i="7" s="1"/>
  <c r="C70" i="7"/>
  <c r="E70" i="7" s="1"/>
  <c r="C69" i="7"/>
  <c r="E69" i="7" s="1"/>
  <c r="C68" i="7"/>
  <c r="E68" i="7" s="1"/>
  <c r="C67" i="7"/>
  <c r="E67" i="7" s="1"/>
  <c r="C66" i="7"/>
  <c r="E66" i="7" s="1"/>
  <c r="C65" i="7"/>
  <c r="E65" i="7" s="1"/>
  <c r="C64" i="7"/>
  <c r="E64" i="7" s="1"/>
  <c r="C63" i="7"/>
  <c r="E63" i="7" s="1"/>
  <c r="C62" i="7"/>
  <c r="E62" i="7" s="1"/>
  <c r="C61" i="7"/>
  <c r="E61" i="7" s="1"/>
  <c r="C60" i="7"/>
  <c r="E60" i="7" s="1"/>
  <c r="C59" i="7"/>
  <c r="E59" i="7" s="1"/>
  <c r="C58" i="7"/>
  <c r="E58" i="7" s="1"/>
  <c r="C57" i="7"/>
  <c r="E57" i="7" s="1"/>
  <c r="C56" i="7"/>
  <c r="E56" i="7" s="1"/>
  <c r="C55" i="7"/>
  <c r="E55" i="7" s="1"/>
  <c r="C54" i="7"/>
  <c r="E54" i="7" s="1"/>
  <c r="C53" i="7"/>
  <c r="E53" i="7" s="1"/>
  <c r="C52" i="7"/>
  <c r="E52" i="7" s="1"/>
  <c r="C51" i="7"/>
  <c r="E51" i="7" s="1"/>
  <c r="C50" i="7"/>
  <c r="E50" i="7" s="1"/>
  <c r="C49" i="7"/>
  <c r="E49" i="7" s="1"/>
  <c r="C48" i="7"/>
  <c r="E48" i="7" s="1"/>
  <c r="C47" i="7"/>
  <c r="E47" i="7" s="1"/>
  <c r="C46" i="7"/>
  <c r="E46" i="7" s="1"/>
  <c r="C45" i="7"/>
  <c r="E45" i="7" s="1"/>
  <c r="C44" i="7"/>
  <c r="E44" i="7" s="1"/>
  <c r="C43" i="7"/>
  <c r="E43" i="7" s="1"/>
  <c r="C42" i="7"/>
  <c r="E42" i="7" s="1"/>
  <c r="C41" i="7"/>
  <c r="E41" i="7" s="1"/>
  <c r="C40" i="7"/>
  <c r="E40" i="7" s="1"/>
  <c r="C39" i="7"/>
  <c r="E39" i="7" s="1"/>
  <c r="C38" i="7"/>
  <c r="E38" i="7" s="1"/>
  <c r="C37" i="7"/>
  <c r="E37" i="7" s="1"/>
  <c r="C36" i="7"/>
  <c r="E36" i="7" s="1"/>
  <c r="C35" i="7"/>
  <c r="E35" i="7" s="1"/>
  <c r="C34" i="7"/>
  <c r="E34" i="7" s="1"/>
  <c r="C33" i="7"/>
  <c r="E33" i="7" s="1"/>
  <c r="C32" i="7"/>
  <c r="E32" i="7" s="1"/>
  <c r="C31" i="7"/>
  <c r="E31" i="7" s="1"/>
  <c r="C30" i="7"/>
  <c r="E30" i="7" s="1"/>
  <c r="C29" i="7"/>
  <c r="E29" i="7" s="1"/>
  <c r="C28" i="7"/>
  <c r="E28" i="7" s="1"/>
  <c r="C27" i="7"/>
  <c r="E27" i="7" s="1"/>
  <c r="C26" i="7"/>
  <c r="E26" i="7" s="1"/>
  <c r="C25" i="7"/>
  <c r="E25" i="7" s="1"/>
  <c r="C24" i="7"/>
  <c r="E24" i="7" s="1"/>
  <c r="C23" i="7"/>
  <c r="E23" i="7" s="1"/>
  <c r="C22" i="7"/>
  <c r="E22" i="7" s="1"/>
  <c r="C21" i="7"/>
  <c r="E21" i="7" s="1"/>
  <c r="C20" i="7"/>
  <c r="E20" i="7" s="1"/>
  <c r="C19" i="7"/>
  <c r="E19" i="7" s="1"/>
  <c r="C18" i="7"/>
  <c r="E18" i="7" s="1"/>
  <c r="C17" i="7"/>
  <c r="E17" i="7" s="1"/>
  <c r="C16" i="7"/>
  <c r="E16" i="7" s="1"/>
  <c r="C15" i="7"/>
  <c r="E15" i="7" s="1"/>
  <c r="C14" i="7"/>
  <c r="E14" i="7" s="1"/>
  <c r="C13" i="7"/>
  <c r="E13" i="7" s="1"/>
  <c r="C12" i="7"/>
  <c r="E12" i="7" s="1"/>
  <c r="C11" i="7"/>
  <c r="E11" i="7" s="1"/>
  <c r="C10" i="7"/>
  <c r="E10" i="7" s="1"/>
  <c r="C9" i="7"/>
  <c r="E9" i="7" s="1"/>
  <c r="C8" i="7"/>
  <c r="E8" i="7" s="1"/>
  <c r="C7" i="7"/>
  <c r="E7" i="7" s="1"/>
  <c r="C6" i="7"/>
  <c r="E6" i="7" s="1"/>
  <c r="C5" i="7"/>
  <c r="E5" i="7" s="1"/>
  <c r="C4" i="7"/>
  <c r="E4" i="7" s="1"/>
  <c r="C3" i="7"/>
  <c r="E3" i="7" s="1"/>
  <c r="C2" i="7"/>
  <c r="E2" i="7" s="1"/>
  <c r="K31" i="6"/>
  <c r="J31" i="6"/>
  <c r="I31" i="6"/>
  <c r="H31" i="6"/>
  <c r="K30" i="6"/>
  <c r="J30" i="6"/>
  <c r="I30" i="6"/>
  <c r="H30" i="6"/>
  <c r="K29" i="6"/>
  <c r="J29" i="6"/>
  <c r="I29" i="6"/>
  <c r="H29" i="6"/>
  <c r="K28" i="6"/>
  <c r="J28" i="6"/>
  <c r="I28" i="6"/>
  <c r="H28" i="6"/>
  <c r="K27" i="6"/>
  <c r="J27" i="6"/>
  <c r="I27" i="6"/>
  <c r="H27" i="6"/>
  <c r="K26" i="6"/>
  <c r="J26" i="6"/>
  <c r="I26" i="6"/>
  <c r="H26" i="6"/>
  <c r="K25" i="6"/>
  <c r="J25" i="6"/>
  <c r="I25" i="6"/>
  <c r="H25" i="6"/>
  <c r="K24" i="6"/>
  <c r="J24" i="6"/>
  <c r="I24" i="6"/>
  <c r="H24" i="6"/>
  <c r="K23" i="6"/>
  <c r="J23" i="6"/>
  <c r="I23" i="6"/>
  <c r="H23" i="6"/>
  <c r="K22" i="6"/>
  <c r="J22" i="6"/>
  <c r="I22" i="6"/>
  <c r="H22" i="6"/>
  <c r="K21" i="6"/>
  <c r="J21" i="6"/>
  <c r="I21" i="6"/>
  <c r="H21" i="6"/>
  <c r="K20" i="6"/>
  <c r="J20" i="6"/>
  <c r="I20" i="6"/>
  <c r="H20" i="6"/>
  <c r="K19" i="6"/>
  <c r="J19" i="6"/>
  <c r="I19" i="6"/>
  <c r="H19" i="6"/>
  <c r="K18" i="6"/>
  <c r="J18" i="6"/>
  <c r="I18" i="6"/>
  <c r="H18" i="6"/>
  <c r="K17" i="6"/>
  <c r="J17" i="6"/>
  <c r="I17" i="6"/>
  <c r="H17" i="6"/>
  <c r="K16" i="6"/>
  <c r="J16" i="6"/>
  <c r="I16" i="6"/>
  <c r="H16" i="6"/>
  <c r="K15" i="6"/>
  <c r="J15" i="6"/>
  <c r="I15" i="6"/>
  <c r="H15" i="6"/>
  <c r="K14" i="6"/>
  <c r="J14" i="6"/>
  <c r="I14" i="6"/>
  <c r="H14" i="6"/>
  <c r="K13" i="6"/>
  <c r="J13" i="6"/>
  <c r="I13" i="6"/>
  <c r="H13" i="6"/>
  <c r="K12" i="6"/>
  <c r="J12" i="6"/>
  <c r="I12" i="6"/>
  <c r="H12" i="6"/>
  <c r="K11" i="6"/>
  <c r="J11" i="6"/>
  <c r="I11" i="6"/>
  <c r="H11" i="6"/>
  <c r="K10" i="6"/>
  <c r="J10" i="6"/>
  <c r="I10" i="6"/>
  <c r="H10" i="6"/>
  <c r="K9" i="6"/>
  <c r="J9" i="6"/>
  <c r="I9" i="6"/>
  <c r="H9" i="6"/>
  <c r="K8" i="6"/>
  <c r="J8" i="6"/>
  <c r="I8" i="6"/>
  <c r="H8" i="6"/>
  <c r="K7" i="6"/>
  <c r="J7" i="6"/>
  <c r="I7" i="6"/>
  <c r="H7" i="6"/>
  <c r="K6" i="6"/>
  <c r="J6" i="6"/>
  <c r="I6" i="6"/>
  <c r="H6" i="6"/>
  <c r="K5" i="6"/>
  <c r="J5" i="6"/>
  <c r="I5" i="6"/>
  <c r="H5" i="6"/>
  <c r="K4" i="6"/>
  <c r="J4" i="6"/>
  <c r="I4" i="6"/>
  <c r="K3" i="6"/>
  <c r="J3" i="6"/>
  <c r="I3" i="6"/>
  <c r="H3" i="6"/>
  <c r="K2" i="6"/>
  <c r="J2" i="6"/>
  <c r="I2" i="6"/>
  <c r="H2" i="6"/>
  <c r="L501" i="3"/>
  <c r="K501" i="3"/>
  <c r="J501" i="3"/>
  <c r="I501" i="3"/>
  <c r="H501" i="3"/>
  <c r="G501" i="3"/>
  <c r="L500" i="3"/>
  <c r="K500" i="3"/>
  <c r="J500" i="3"/>
  <c r="I500" i="3"/>
  <c r="H500" i="3"/>
  <c r="G500" i="3"/>
  <c r="L499" i="3"/>
  <c r="K499" i="3"/>
  <c r="J499" i="3"/>
  <c r="I499" i="3"/>
  <c r="H499" i="3"/>
  <c r="G499" i="3"/>
  <c r="L498" i="3"/>
  <c r="K498" i="3"/>
  <c r="J498" i="3"/>
  <c r="I498" i="3"/>
  <c r="H498" i="3"/>
  <c r="G498" i="3"/>
  <c r="L497" i="3"/>
  <c r="K497" i="3"/>
  <c r="J497" i="3"/>
  <c r="I497" i="3"/>
  <c r="H497" i="3"/>
  <c r="G497" i="3"/>
  <c r="L496" i="3"/>
  <c r="K496" i="3"/>
  <c r="J496" i="3"/>
  <c r="I496" i="3"/>
  <c r="H496" i="3"/>
  <c r="G496" i="3"/>
  <c r="L495" i="3"/>
  <c r="K495" i="3"/>
  <c r="J495" i="3"/>
  <c r="I495" i="3"/>
  <c r="H495" i="3"/>
  <c r="G495" i="3"/>
  <c r="L494" i="3"/>
  <c r="K494" i="3"/>
  <c r="J494" i="3"/>
  <c r="I494" i="3"/>
  <c r="H494" i="3"/>
  <c r="G494" i="3"/>
  <c r="L493" i="3"/>
  <c r="K493" i="3"/>
  <c r="J493" i="3"/>
  <c r="I493" i="3"/>
  <c r="H493" i="3"/>
  <c r="G493" i="3"/>
  <c r="L492" i="3"/>
  <c r="K492" i="3"/>
  <c r="J492" i="3"/>
  <c r="I492" i="3"/>
  <c r="H492" i="3"/>
  <c r="G492" i="3"/>
  <c r="L491" i="3"/>
  <c r="K491" i="3"/>
  <c r="J491" i="3"/>
  <c r="I491" i="3"/>
  <c r="H491" i="3"/>
  <c r="G491" i="3"/>
  <c r="L490" i="3"/>
  <c r="K490" i="3"/>
  <c r="J490" i="3"/>
  <c r="I490" i="3"/>
  <c r="H490" i="3"/>
  <c r="G490" i="3"/>
  <c r="L489" i="3"/>
  <c r="K489" i="3"/>
  <c r="J489" i="3"/>
  <c r="I489" i="3"/>
  <c r="H489" i="3"/>
  <c r="G489" i="3"/>
  <c r="L488" i="3"/>
  <c r="K488" i="3"/>
  <c r="J488" i="3"/>
  <c r="I488" i="3"/>
  <c r="H488" i="3"/>
  <c r="G488" i="3"/>
  <c r="L487" i="3"/>
  <c r="K487" i="3"/>
  <c r="J487" i="3"/>
  <c r="I487" i="3"/>
  <c r="H487" i="3"/>
  <c r="G487" i="3"/>
  <c r="L486" i="3"/>
  <c r="K486" i="3"/>
  <c r="J486" i="3"/>
  <c r="I486" i="3"/>
  <c r="H486" i="3"/>
  <c r="G486" i="3"/>
  <c r="L485" i="3"/>
  <c r="K485" i="3"/>
  <c r="J485" i="3"/>
  <c r="I485" i="3"/>
  <c r="H485" i="3"/>
  <c r="G485" i="3"/>
  <c r="L484" i="3"/>
  <c r="K484" i="3"/>
  <c r="J484" i="3"/>
  <c r="I484" i="3"/>
  <c r="H484" i="3"/>
  <c r="G484" i="3"/>
  <c r="L483" i="3"/>
  <c r="K483" i="3"/>
  <c r="J483" i="3"/>
  <c r="I483" i="3"/>
  <c r="H483" i="3"/>
  <c r="G483" i="3"/>
  <c r="L482" i="3"/>
  <c r="K482" i="3"/>
  <c r="J482" i="3"/>
  <c r="I482" i="3"/>
  <c r="H482" i="3"/>
  <c r="G482" i="3"/>
  <c r="L481" i="3"/>
  <c r="K481" i="3"/>
  <c r="J481" i="3"/>
  <c r="I481" i="3"/>
  <c r="H481" i="3"/>
  <c r="G481" i="3"/>
  <c r="L480" i="3"/>
  <c r="K480" i="3"/>
  <c r="J480" i="3"/>
  <c r="I480" i="3"/>
  <c r="H480" i="3"/>
  <c r="G480" i="3"/>
  <c r="L479" i="3"/>
  <c r="K479" i="3"/>
  <c r="J479" i="3"/>
  <c r="I479" i="3"/>
  <c r="H479" i="3"/>
  <c r="G479" i="3"/>
  <c r="L478" i="3"/>
  <c r="K478" i="3"/>
  <c r="J478" i="3"/>
  <c r="I478" i="3"/>
  <c r="H478" i="3"/>
  <c r="G478" i="3"/>
  <c r="L477" i="3"/>
  <c r="K477" i="3"/>
  <c r="J477" i="3"/>
  <c r="I477" i="3"/>
  <c r="H477" i="3"/>
  <c r="G477" i="3"/>
  <c r="L476" i="3"/>
  <c r="K476" i="3"/>
  <c r="J476" i="3"/>
  <c r="I476" i="3"/>
  <c r="H476" i="3"/>
  <c r="G476" i="3"/>
  <c r="L475" i="3"/>
  <c r="K475" i="3"/>
  <c r="J475" i="3"/>
  <c r="I475" i="3"/>
  <c r="H475" i="3"/>
  <c r="G475" i="3"/>
  <c r="L474" i="3"/>
  <c r="K474" i="3"/>
  <c r="J474" i="3"/>
  <c r="I474" i="3"/>
  <c r="H474" i="3"/>
  <c r="G474" i="3"/>
  <c r="L473" i="3"/>
  <c r="K473" i="3"/>
  <c r="J473" i="3"/>
  <c r="I473" i="3"/>
  <c r="H473" i="3"/>
  <c r="G473" i="3"/>
  <c r="L472" i="3"/>
  <c r="K472" i="3"/>
  <c r="J472" i="3"/>
  <c r="I472" i="3"/>
  <c r="H472" i="3"/>
  <c r="G472" i="3"/>
  <c r="L471" i="3"/>
  <c r="K471" i="3"/>
  <c r="J471" i="3"/>
  <c r="I471" i="3"/>
  <c r="H471" i="3"/>
  <c r="G471" i="3"/>
  <c r="L470" i="3"/>
  <c r="K470" i="3"/>
  <c r="J470" i="3"/>
  <c r="I470" i="3"/>
  <c r="H470" i="3"/>
  <c r="G470" i="3"/>
  <c r="L469" i="3"/>
  <c r="K469" i="3"/>
  <c r="J469" i="3"/>
  <c r="I469" i="3"/>
  <c r="H469" i="3"/>
  <c r="G469" i="3"/>
  <c r="L468" i="3"/>
  <c r="K468" i="3"/>
  <c r="J468" i="3"/>
  <c r="I468" i="3"/>
  <c r="H468" i="3"/>
  <c r="G468" i="3"/>
  <c r="L467" i="3"/>
  <c r="K467" i="3"/>
  <c r="J467" i="3"/>
  <c r="I467" i="3"/>
  <c r="H467" i="3"/>
  <c r="G467" i="3"/>
  <c r="L466" i="3"/>
  <c r="K466" i="3"/>
  <c r="J466" i="3"/>
  <c r="I466" i="3"/>
  <c r="H466" i="3"/>
  <c r="G466" i="3"/>
  <c r="L465" i="3"/>
  <c r="K465" i="3"/>
  <c r="J465" i="3"/>
  <c r="I465" i="3"/>
  <c r="H465" i="3"/>
  <c r="G465" i="3"/>
  <c r="L464" i="3"/>
  <c r="K464" i="3"/>
  <c r="J464" i="3"/>
  <c r="I464" i="3"/>
  <c r="H464" i="3"/>
  <c r="G464" i="3"/>
  <c r="L463" i="3"/>
  <c r="K463" i="3"/>
  <c r="J463" i="3"/>
  <c r="I463" i="3"/>
  <c r="H463" i="3"/>
  <c r="G463" i="3"/>
  <c r="L462" i="3"/>
  <c r="K462" i="3"/>
  <c r="J462" i="3"/>
  <c r="I462" i="3"/>
  <c r="H462" i="3"/>
  <c r="G462" i="3"/>
  <c r="L461" i="3"/>
  <c r="K461" i="3"/>
  <c r="J461" i="3"/>
  <c r="I461" i="3"/>
  <c r="H461" i="3"/>
  <c r="G461" i="3"/>
  <c r="L460" i="3"/>
  <c r="K460" i="3"/>
  <c r="J460" i="3"/>
  <c r="I460" i="3"/>
  <c r="H460" i="3"/>
  <c r="G460" i="3"/>
  <c r="L459" i="3"/>
  <c r="K459" i="3"/>
  <c r="J459" i="3"/>
  <c r="I459" i="3"/>
  <c r="H459" i="3"/>
  <c r="G459" i="3"/>
  <c r="L458" i="3"/>
  <c r="K458" i="3"/>
  <c r="J458" i="3"/>
  <c r="I458" i="3"/>
  <c r="H458" i="3"/>
  <c r="G458" i="3"/>
  <c r="L457" i="3"/>
  <c r="K457" i="3"/>
  <c r="J457" i="3"/>
  <c r="I457" i="3"/>
  <c r="H457" i="3"/>
  <c r="G457" i="3"/>
  <c r="L456" i="3"/>
  <c r="K456" i="3"/>
  <c r="J456" i="3"/>
  <c r="I456" i="3"/>
  <c r="H456" i="3"/>
  <c r="G456" i="3"/>
  <c r="L455" i="3"/>
  <c r="K455" i="3"/>
  <c r="J455" i="3"/>
  <c r="I455" i="3"/>
  <c r="H455" i="3"/>
  <c r="G455" i="3"/>
  <c r="L454" i="3"/>
  <c r="K454" i="3"/>
  <c r="J454" i="3"/>
  <c r="I454" i="3"/>
  <c r="H454" i="3"/>
  <c r="G454" i="3"/>
  <c r="L453" i="3"/>
  <c r="K453" i="3"/>
  <c r="J453" i="3"/>
  <c r="I453" i="3"/>
  <c r="H453" i="3"/>
  <c r="G453" i="3"/>
  <c r="L452" i="3"/>
  <c r="K452" i="3"/>
  <c r="J452" i="3"/>
  <c r="I452" i="3"/>
  <c r="H452" i="3"/>
  <c r="G452" i="3"/>
  <c r="L451" i="3"/>
  <c r="K451" i="3"/>
  <c r="J451" i="3"/>
  <c r="I451" i="3"/>
  <c r="H451" i="3"/>
  <c r="G451" i="3"/>
  <c r="L450" i="3"/>
  <c r="K450" i="3"/>
  <c r="J450" i="3"/>
  <c r="I450" i="3"/>
  <c r="H450" i="3"/>
  <c r="G450" i="3"/>
  <c r="L449" i="3"/>
  <c r="K449" i="3"/>
  <c r="J449" i="3"/>
  <c r="I449" i="3"/>
  <c r="H449" i="3"/>
  <c r="G449" i="3"/>
  <c r="L448" i="3"/>
  <c r="K448" i="3"/>
  <c r="J448" i="3"/>
  <c r="I448" i="3"/>
  <c r="H448" i="3"/>
  <c r="G448" i="3"/>
  <c r="L447" i="3"/>
  <c r="K447" i="3"/>
  <c r="J447" i="3"/>
  <c r="I447" i="3"/>
  <c r="H447" i="3"/>
  <c r="G447" i="3"/>
  <c r="L446" i="3"/>
  <c r="K446" i="3"/>
  <c r="J446" i="3"/>
  <c r="I446" i="3"/>
  <c r="H446" i="3"/>
  <c r="G446" i="3"/>
  <c r="L445" i="3"/>
  <c r="K445" i="3"/>
  <c r="J445" i="3"/>
  <c r="I445" i="3"/>
  <c r="H445" i="3"/>
  <c r="G445" i="3"/>
  <c r="L444" i="3"/>
  <c r="K444" i="3"/>
  <c r="J444" i="3"/>
  <c r="I444" i="3"/>
  <c r="H444" i="3"/>
  <c r="G444" i="3"/>
  <c r="L443" i="3"/>
  <c r="K443" i="3"/>
  <c r="J443" i="3"/>
  <c r="I443" i="3"/>
  <c r="H443" i="3"/>
  <c r="G443" i="3"/>
  <c r="L442" i="3"/>
  <c r="K442" i="3"/>
  <c r="J442" i="3"/>
  <c r="I442" i="3"/>
  <c r="H442" i="3"/>
  <c r="G442" i="3"/>
  <c r="L441" i="3"/>
  <c r="K441" i="3"/>
  <c r="J441" i="3"/>
  <c r="I441" i="3"/>
  <c r="H441" i="3"/>
  <c r="G441" i="3"/>
  <c r="L440" i="3"/>
  <c r="K440" i="3"/>
  <c r="J440" i="3"/>
  <c r="I440" i="3"/>
  <c r="H440" i="3"/>
  <c r="G440" i="3"/>
  <c r="L439" i="3"/>
  <c r="K439" i="3"/>
  <c r="J439" i="3"/>
  <c r="I439" i="3"/>
  <c r="H439" i="3"/>
  <c r="G439" i="3"/>
  <c r="L438" i="3"/>
  <c r="K438" i="3"/>
  <c r="J438" i="3"/>
  <c r="I438" i="3"/>
  <c r="H438" i="3"/>
  <c r="G438" i="3"/>
  <c r="L437" i="3"/>
  <c r="K437" i="3"/>
  <c r="J437" i="3"/>
  <c r="I437" i="3"/>
  <c r="H437" i="3"/>
  <c r="G437" i="3"/>
  <c r="L436" i="3"/>
  <c r="K436" i="3"/>
  <c r="J436" i="3"/>
  <c r="I436" i="3"/>
  <c r="H436" i="3"/>
  <c r="G436" i="3"/>
  <c r="L435" i="3"/>
  <c r="K435" i="3"/>
  <c r="J435" i="3"/>
  <c r="I435" i="3"/>
  <c r="H435" i="3"/>
  <c r="G435" i="3"/>
  <c r="L434" i="3"/>
  <c r="K434" i="3"/>
  <c r="J434" i="3"/>
  <c r="I434" i="3"/>
  <c r="H434" i="3"/>
  <c r="G434" i="3"/>
  <c r="L433" i="3"/>
  <c r="K433" i="3"/>
  <c r="J433" i="3"/>
  <c r="I433" i="3"/>
  <c r="H433" i="3"/>
  <c r="G433" i="3"/>
  <c r="L432" i="3"/>
  <c r="K432" i="3"/>
  <c r="J432" i="3"/>
  <c r="I432" i="3"/>
  <c r="H432" i="3"/>
  <c r="G432" i="3"/>
  <c r="L431" i="3"/>
  <c r="K431" i="3"/>
  <c r="J431" i="3"/>
  <c r="I431" i="3"/>
  <c r="H431" i="3"/>
  <c r="G431" i="3"/>
  <c r="L430" i="3"/>
  <c r="K430" i="3"/>
  <c r="J430" i="3"/>
  <c r="I430" i="3"/>
  <c r="H430" i="3"/>
  <c r="G430" i="3"/>
  <c r="L429" i="3"/>
  <c r="K429" i="3"/>
  <c r="J429" i="3"/>
  <c r="I429" i="3"/>
  <c r="H429" i="3"/>
  <c r="G429" i="3"/>
  <c r="L428" i="3"/>
  <c r="K428" i="3"/>
  <c r="J428" i="3"/>
  <c r="I428" i="3"/>
  <c r="H428" i="3"/>
  <c r="G428" i="3"/>
  <c r="L427" i="3"/>
  <c r="K427" i="3"/>
  <c r="J427" i="3"/>
  <c r="I427" i="3"/>
  <c r="H427" i="3"/>
  <c r="G427" i="3"/>
  <c r="L426" i="3"/>
  <c r="K426" i="3"/>
  <c r="J426" i="3"/>
  <c r="I426" i="3"/>
  <c r="H426" i="3"/>
  <c r="G426" i="3"/>
  <c r="L425" i="3"/>
  <c r="K425" i="3"/>
  <c r="J425" i="3"/>
  <c r="I425" i="3"/>
  <c r="H425" i="3"/>
  <c r="G425" i="3"/>
  <c r="L424" i="3"/>
  <c r="K424" i="3"/>
  <c r="J424" i="3"/>
  <c r="I424" i="3"/>
  <c r="H424" i="3"/>
  <c r="G424" i="3"/>
  <c r="L423" i="3"/>
  <c r="K423" i="3"/>
  <c r="J423" i="3"/>
  <c r="I423" i="3"/>
  <c r="H423" i="3"/>
  <c r="G423" i="3"/>
  <c r="L422" i="3"/>
  <c r="K422" i="3"/>
  <c r="J422" i="3"/>
  <c r="I422" i="3"/>
  <c r="H422" i="3"/>
  <c r="G422" i="3"/>
  <c r="L421" i="3"/>
  <c r="K421" i="3"/>
  <c r="J421" i="3"/>
  <c r="I421" i="3"/>
  <c r="H421" i="3"/>
  <c r="G421" i="3"/>
  <c r="L420" i="3"/>
  <c r="K420" i="3"/>
  <c r="J420" i="3"/>
  <c r="I420" i="3"/>
  <c r="H420" i="3"/>
  <c r="G420" i="3"/>
  <c r="L419" i="3"/>
  <c r="K419" i="3"/>
  <c r="J419" i="3"/>
  <c r="I419" i="3"/>
  <c r="H419" i="3"/>
  <c r="G419" i="3"/>
  <c r="L418" i="3"/>
  <c r="K418" i="3"/>
  <c r="J418" i="3"/>
  <c r="I418" i="3"/>
  <c r="H418" i="3"/>
  <c r="G418" i="3"/>
  <c r="L417" i="3"/>
  <c r="K417" i="3"/>
  <c r="J417" i="3"/>
  <c r="I417" i="3"/>
  <c r="H417" i="3"/>
  <c r="G417" i="3"/>
  <c r="L416" i="3"/>
  <c r="K416" i="3"/>
  <c r="J416" i="3"/>
  <c r="I416" i="3"/>
  <c r="H416" i="3"/>
  <c r="G416" i="3"/>
  <c r="L415" i="3"/>
  <c r="K415" i="3"/>
  <c r="J415" i="3"/>
  <c r="I415" i="3"/>
  <c r="H415" i="3"/>
  <c r="G415" i="3"/>
  <c r="L414" i="3"/>
  <c r="K414" i="3"/>
  <c r="J414" i="3"/>
  <c r="I414" i="3"/>
  <c r="H414" i="3"/>
  <c r="G414" i="3"/>
  <c r="L413" i="3"/>
  <c r="K413" i="3"/>
  <c r="J413" i="3"/>
  <c r="I413" i="3"/>
  <c r="H413" i="3"/>
  <c r="G413" i="3"/>
  <c r="L412" i="3"/>
  <c r="K412" i="3"/>
  <c r="J412" i="3"/>
  <c r="I412" i="3"/>
  <c r="H412" i="3"/>
  <c r="G412" i="3"/>
  <c r="L411" i="3"/>
  <c r="K411" i="3"/>
  <c r="J411" i="3"/>
  <c r="I411" i="3"/>
  <c r="H411" i="3"/>
  <c r="G411" i="3"/>
  <c r="L410" i="3"/>
  <c r="K410" i="3"/>
  <c r="J410" i="3"/>
  <c r="I410" i="3"/>
  <c r="H410" i="3"/>
  <c r="G410" i="3"/>
  <c r="L409" i="3"/>
  <c r="K409" i="3"/>
  <c r="J409" i="3"/>
  <c r="I409" i="3"/>
  <c r="H409" i="3"/>
  <c r="G409" i="3"/>
  <c r="L408" i="3"/>
  <c r="K408" i="3"/>
  <c r="J408" i="3"/>
  <c r="I408" i="3"/>
  <c r="H408" i="3"/>
  <c r="G408" i="3"/>
  <c r="L407" i="3"/>
  <c r="K407" i="3"/>
  <c r="J407" i="3"/>
  <c r="I407" i="3"/>
  <c r="H407" i="3"/>
  <c r="G407" i="3"/>
  <c r="L406" i="3"/>
  <c r="K406" i="3"/>
  <c r="J406" i="3"/>
  <c r="I406" i="3"/>
  <c r="H406" i="3"/>
  <c r="G406" i="3"/>
  <c r="L405" i="3"/>
  <c r="K405" i="3"/>
  <c r="J405" i="3"/>
  <c r="I405" i="3"/>
  <c r="H405" i="3"/>
  <c r="G405" i="3"/>
  <c r="L404" i="3"/>
  <c r="K404" i="3"/>
  <c r="J404" i="3"/>
  <c r="I404" i="3"/>
  <c r="H404" i="3"/>
  <c r="G404" i="3"/>
  <c r="L403" i="3"/>
  <c r="K403" i="3"/>
  <c r="J403" i="3"/>
  <c r="I403" i="3"/>
  <c r="H403" i="3"/>
  <c r="G403" i="3"/>
  <c r="L402" i="3"/>
  <c r="K402" i="3"/>
  <c r="J402" i="3"/>
  <c r="I402" i="3"/>
  <c r="H402" i="3"/>
  <c r="G402" i="3"/>
  <c r="L401" i="3"/>
  <c r="K401" i="3"/>
  <c r="J401" i="3"/>
  <c r="I401" i="3"/>
  <c r="H401" i="3"/>
  <c r="G401" i="3"/>
  <c r="L400" i="3"/>
  <c r="K400" i="3"/>
  <c r="J400" i="3"/>
  <c r="I400" i="3"/>
  <c r="H400" i="3"/>
  <c r="G400" i="3"/>
  <c r="L399" i="3"/>
  <c r="K399" i="3"/>
  <c r="J399" i="3"/>
  <c r="I399" i="3"/>
  <c r="H399" i="3"/>
  <c r="G399" i="3"/>
  <c r="L398" i="3"/>
  <c r="K398" i="3"/>
  <c r="J398" i="3"/>
  <c r="I398" i="3"/>
  <c r="H398" i="3"/>
  <c r="G398" i="3"/>
  <c r="L397" i="3"/>
  <c r="K397" i="3"/>
  <c r="J397" i="3"/>
  <c r="I397" i="3"/>
  <c r="H397" i="3"/>
  <c r="G397" i="3"/>
  <c r="L396" i="3"/>
  <c r="K396" i="3"/>
  <c r="J396" i="3"/>
  <c r="I396" i="3"/>
  <c r="H396" i="3"/>
  <c r="G396" i="3"/>
  <c r="L395" i="3"/>
  <c r="K395" i="3"/>
  <c r="J395" i="3"/>
  <c r="I395" i="3"/>
  <c r="H395" i="3"/>
  <c r="G395" i="3"/>
  <c r="L394" i="3"/>
  <c r="K394" i="3"/>
  <c r="J394" i="3"/>
  <c r="I394" i="3"/>
  <c r="H394" i="3"/>
  <c r="G394" i="3"/>
  <c r="L393" i="3"/>
  <c r="K393" i="3"/>
  <c r="J393" i="3"/>
  <c r="I393" i="3"/>
  <c r="H393" i="3"/>
  <c r="G393" i="3"/>
  <c r="L392" i="3"/>
  <c r="K392" i="3"/>
  <c r="J392" i="3"/>
  <c r="I392" i="3"/>
  <c r="H392" i="3"/>
  <c r="G392" i="3"/>
  <c r="L391" i="3"/>
  <c r="K391" i="3"/>
  <c r="J391" i="3"/>
  <c r="I391" i="3"/>
  <c r="H391" i="3"/>
  <c r="G391" i="3"/>
  <c r="L390" i="3"/>
  <c r="K390" i="3"/>
  <c r="J390" i="3"/>
  <c r="I390" i="3"/>
  <c r="H390" i="3"/>
  <c r="G390" i="3"/>
  <c r="L389" i="3"/>
  <c r="K389" i="3"/>
  <c r="J389" i="3"/>
  <c r="I389" i="3"/>
  <c r="H389" i="3"/>
  <c r="G389" i="3"/>
  <c r="L388" i="3"/>
  <c r="K388" i="3"/>
  <c r="J388" i="3"/>
  <c r="I388" i="3"/>
  <c r="H388" i="3"/>
  <c r="G388" i="3"/>
  <c r="L387" i="3"/>
  <c r="K387" i="3"/>
  <c r="J387" i="3"/>
  <c r="I387" i="3"/>
  <c r="H387" i="3"/>
  <c r="G387" i="3"/>
  <c r="L386" i="3"/>
  <c r="K386" i="3"/>
  <c r="J386" i="3"/>
  <c r="I386" i="3"/>
  <c r="H386" i="3"/>
  <c r="G386" i="3"/>
  <c r="L385" i="3"/>
  <c r="K385" i="3"/>
  <c r="J385" i="3"/>
  <c r="I385" i="3"/>
  <c r="H385" i="3"/>
  <c r="G385" i="3"/>
  <c r="L384" i="3"/>
  <c r="K384" i="3"/>
  <c r="J384" i="3"/>
  <c r="I384" i="3"/>
  <c r="H384" i="3"/>
  <c r="G384" i="3"/>
  <c r="L383" i="3"/>
  <c r="K383" i="3"/>
  <c r="J383" i="3"/>
  <c r="I383" i="3"/>
  <c r="H383" i="3"/>
  <c r="G383" i="3"/>
  <c r="L382" i="3"/>
  <c r="K382" i="3"/>
  <c r="J382" i="3"/>
  <c r="I382" i="3"/>
  <c r="H382" i="3"/>
  <c r="G382" i="3"/>
  <c r="L381" i="3"/>
  <c r="K381" i="3"/>
  <c r="J381" i="3"/>
  <c r="I381" i="3"/>
  <c r="H381" i="3"/>
  <c r="G381" i="3"/>
  <c r="L380" i="3"/>
  <c r="K380" i="3"/>
  <c r="J380" i="3"/>
  <c r="I380" i="3"/>
  <c r="H380" i="3"/>
  <c r="G380" i="3"/>
  <c r="L379" i="3"/>
  <c r="K379" i="3"/>
  <c r="J379" i="3"/>
  <c r="I379" i="3"/>
  <c r="H379" i="3"/>
  <c r="G379" i="3"/>
  <c r="L378" i="3"/>
  <c r="K378" i="3"/>
  <c r="J378" i="3"/>
  <c r="I378" i="3"/>
  <c r="H378" i="3"/>
  <c r="G378" i="3"/>
  <c r="L377" i="3"/>
  <c r="K377" i="3"/>
  <c r="J377" i="3"/>
  <c r="I377" i="3"/>
  <c r="H377" i="3"/>
  <c r="G377" i="3"/>
  <c r="L376" i="3"/>
  <c r="K376" i="3"/>
  <c r="J376" i="3"/>
  <c r="I376" i="3"/>
  <c r="H376" i="3"/>
  <c r="G376" i="3"/>
  <c r="L375" i="3"/>
  <c r="K375" i="3"/>
  <c r="J375" i="3"/>
  <c r="I375" i="3"/>
  <c r="H375" i="3"/>
  <c r="G375" i="3"/>
  <c r="L374" i="3"/>
  <c r="K374" i="3"/>
  <c r="J374" i="3"/>
  <c r="I374" i="3"/>
  <c r="H374" i="3"/>
  <c r="G374" i="3"/>
  <c r="L373" i="3"/>
  <c r="K373" i="3"/>
  <c r="J373" i="3"/>
  <c r="I373" i="3"/>
  <c r="H373" i="3"/>
  <c r="G373" i="3"/>
  <c r="L372" i="3"/>
  <c r="K372" i="3"/>
  <c r="J372" i="3"/>
  <c r="I372" i="3"/>
  <c r="H372" i="3"/>
  <c r="G372" i="3"/>
  <c r="L371" i="3"/>
  <c r="K371" i="3"/>
  <c r="J371" i="3"/>
  <c r="I371" i="3"/>
  <c r="H371" i="3"/>
  <c r="G371" i="3"/>
  <c r="L370" i="3"/>
  <c r="K370" i="3"/>
  <c r="J370" i="3"/>
  <c r="I370" i="3"/>
  <c r="H370" i="3"/>
  <c r="G370" i="3"/>
  <c r="L369" i="3"/>
  <c r="K369" i="3"/>
  <c r="J369" i="3"/>
  <c r="I369" i="3"/>
  <c r="H369" i="3"/>
  <c r="G369" i="3"/>
  <c r="L368" i="3"/>
  <c r="K368" i="3"/>
  <c r="J368" i="3"/>
  <c r="I368" i="3"/>
  <c r="H368" i="3"/>
  <c r="G368" i="3"/>
  <c r="L367" i="3"/>
  <c r="K367" i="3"/>
  <c r="J367" i="3"/>
  <c r="I367" i="3"/>
  <c r="H367" i="3"/>
  <c r="G367" i="3"/>
  <c r="L366" i="3"/>
  <c r="K366" i="3"/>
  <c r="J366" i="3"/>
  <c r="I366" i="3"/>
  <c r="H366" i="3"/>
  <c r="G366" i="3"/>
  <c r="L365" i="3"/>
  <c r="K365" i="3"/>
  <c r="J365" i="3"/>
  <c r="I365" i="3"/>
  <c r="H365" i="3"/>
  <c r="G365" i="3"/>
  <c r="L364" i="3"/>
  <c r="K364" i="3"/>
  <c r="J364" i="3"/>
  <c r="I364" i="3"/>
  <c r="H364" i="3"/>
  <c r="G364" i="3"/>
  <c r="L363" i="3"/>
  <c r="K363" i="3"/>
  <c r="J363" i="3"/>
  <c r="I363" i="3"/>
  <c r="H363" i="3"/>
  <c r="G363" i="3"/>
  <c r="L362" i="3"/>
  <c r="K362" i="3"/>
  <c r="J362" i="3"/>
  <c r="I362" i="3"/>
  <c r="H362" i="3"/>
  <c r="G362" i="3"/>
  <c r="L361" i="3"/>
  <c r="K361" i="3"/>
  <c r="J361" i="3"/>
  <c r="I361" i="3"/>
  <c r="H361" i="3"/>
  <c r="G361" i="3"/>
  <c r="L360" i="3"/>
  <c r="K360" i="3"/>
  <c r="J360" i="3"/>
  <c r="I360" i="3"/>
  <c r="H360" i="3"/>
  <c r="G360" i="3"/>
  <c r="L359" i="3"/>
  <c r="K359" i="3"/>
  <c r="J359" i="3"/>
  <c r="I359" i="3"/>
  <c r="H359" i="3"/>
  <c r="G359" i="3"/>
  <c r="L358" i="3"/>
  <c r="K358" i="3"/>
  <c r="J358" i="3"/>
  <c r="I358" i="3"/>
  <c r="H358" i="3"/>
  <c r="G358" i="3"/>
  <c r="L357" i="3"/>
  <c r="K357" i="3"/>
  <c r="J357" i="3"/>
  <c r="I357" i="3"/>
  <c r="H357" i="3"/>
  <c r="G357" i="3"/>
  <c r="L356" i="3"/>
  <c r="K356" i="3"/>
  <c r="J356" i="3"/>
  <c r="I356" i="3"/>
  <c r="H356" i="3"/>
  <c r="G356" i="3"/>
  <c r="L355" i="3"/>
  <c r="K355" i="3"/>
  <c r="J355" i="3"/>
  <c r="I355" i="3"/>
  <c r="H355" i="3"/>
  <c r="G355" i="3"/>
  <c r="L354" i="3"/>
  <c r="K354" i="3"/>
  <c r="J354" i="3"/>
  <c r="I354" i="3"/>
  <c r="H354" i="3"/>
  <c r="G354" i="3"/>
  <c r="L353" i="3"/>
  <c r="K353" i="3"/>
  <c r="J353" i="3"/>
  <c r="I353" i="3"/>
  <c r="H353" i="3"/>
  <c r="G353" i="3"/>
  <c r="L352" i="3"/>
  <c r="K352" i="3"/>
  <c r="J352" i="3"/>
  <c r="I352" i="3"/>
  <c r="H352" i="3"/>
  <c r="G352" i="3"/>
  <c r="L351" i="3"/>
  <c r="K351" i="3"/>
  <c r="J351" i="3"/>
  <c r="I351" i="3"/>
  <c r="H351" i="3"/>
  <c r="G351" i="3"/>
  <c r="L350" i="3"/>
  <c r="K350" i="3"/>
  <c r="J350" i="3"/>
  <c r="I350" i="3"/>
  <c r="H350" i="3"/>
  <c r="G350" i="3"/>
  <c r="L349" i="3"/>
  <c r="K349" i="3"/>
  <c r="J349" i="3"/>
  <c r="I349" i="3"/>
  <c r="H349" i="3"/>
  <c r="G349" i="3"/>
  <c r="L348" i="3"/>
  <c r="K348" i="3"/>
  <c r="J348" i="3"/>
  <c r="I348" i="3"/>
  <c r="H348" i="3"/>
  <c r="G348" i="3"/>
  <c r="L347" i="3"/>
  <c r="K347" i="3"/>
  <c r="J347" i="3"/>
  <c r="I347" i="3"/>
  <c r="H347" i="3"/>
  <c r="G347" i="3"/>
  <c r="L346" i="3"/>
  <c r="K346" i="3"/>
  <c r="J346" i="3"/>
  <c r="I346" i="3"/>
  <c r="H346" i="3"/>
  <c r="G346" i="3"/>
  <c r="L345" i="3"/>
  <c r="K345" i="3"/>
  <c r="J345" i="3"/>
  <c r="I345" i="3"/>
  <c r="H345" i="3"/>
  <c r="G345" i="3"/>
  <c r="L344" i="3"/>
  <c r="K344" i="3"/>
  <c r="J344" i="3"/>
  <c r="I344" i="3"/>
  <c r="H344" i="3"/>
  <c r="G344" i="3"/>
  <c r="L343" i="3"/>
  <c r="K343" i="3"/>
  <c r="J343" i="3"/>
  <c r="I343" i="3"/>
  <c r="H343" i="3"/>
  <c r="G343" i="3"/>
  <c r="L342" i="3"/>
  <c r="K342" i="3"/>
  <c r="J342" i="3"/>
  <c r="I342" i="3"/>
  <c r="H342" i="3"/>
  <c r="G342" i="3"/>
  <c r="L341" i="3"/>
  <c r="K341" i="3"/>
  <c r="J341" i="3"/>
  <c r="I341" i="3"/>
  <c r="H341" i="3"/>
  <c r="G341" i="3"/>
  <c r="L340" i="3"/>
  <c r="K340" i="3"/>
  <c r="J340" i="3"/>
  <c r="I340" i="3"/>
  <c r="H340" i="3"/>
  <c r="G340" i="3"/>
  <c r="L339" i="3"/>
  <c r="K339" i="3"/>
  <c r="J339" i="3"/>
  <c r="I339" i="3"/>
  <c r="H339" i="3"/>
  <c r="G339" i="3"/>
  <c r="L338" i="3"/>
  <c r="K338" i="3"/>
  <c r="J338" i="3"/>
  <c r="I338" i="3"/>
  <c r="H338" i="3"/>
  <c r="G338" i="3"/>
  <c r="L337" i="3"/>
  <c r="K337" i="3"/>
  <c r="J337" i="3"/>
  <c r="I337" i="3"/>
  <c r="H337" i="3"/>
  <c r="G337" i="3"/>
  <c r="L336" i="3"/>
  <c r="K336" i="3"/>
  <c r="J336" i="3"/>
  <c r="I336" i="3"/>
  <c r="H336" i="3"/>
  <c r="G336" i="3"/>
  <c r="L335" i="3"/>
  <c r="K335" i="3"/>
  <c r="J335" i="3"/>
  <c r="I335" i="3"/>
  <c r="H335" i="3"/>
  <c r="G335" i="3"/>
  <c r="L334" i="3"/>
  <c r="K334" i="3"/>
  <c r="J334" i="3"/>
  <c r="I334" i="3"/>
  <c r="H334" i="3"/>
  <c r="G334" i="3"/>
  <c r="L333" i="3"/>
  <c r="K333" i="3"/>
  <c r="J333" i="3"/>
  <c r="I333" i="3"/>
  <c r="H333" i="3"/>
  <c r="G333" i="3"/>
  <c r="L332" i="3"/>
  <c r="K332" i="3"/>
  <c r="J332" i="3"/>
  <c r="I332" i="3"/>
  <c r="H332" i="3"/>
  <c r="G332" i="3"/>
  <c r="L331" i="3"/>
  <c r="K331" i="3"/>
  <c r="J331" i="3"/>
  <c r="I331" i="3"/>
  <c r="H331" i="3"/>
  <c r="G331" i="3"/>
  <c r="L330" i="3"/>
  <c r="K330" i="3"/>
  <c r="J330" i="3"/>
  <c r="I330" i="3"/>
  <c r="H330" i="3"/>
  <c r="G330" i="3"/>
  <c r="L329" i="3"/>
  <c r="K329" i="3"/>
  <c r="J329" i="3"/>
  <c r="I329" i="3"/>
  <c r="H329" i="3"/>
  <c r="G329" i="3"/>
  <c r="L328" i="3"/>
  <c r="K328" i="3"/>
  <c r="J328" i="3"/>
  <c r="I328" i="3"/>
  <c r="H328" i="3"/>
  <c r="G328" i="3"/>
  <c r="L327" i="3"/>
  <c r="K327" i="3"/>
  <c r="J327" i="3"/>
  <c r="I327" i="3"/>
  <c r="H327" i="3"/>
  <c r="G327" i="3"/>
  <c r="L326" i="3"/>
  <c r="K326" i="3"/>
  <c r="J326" i="3"/>
  <c r="I326" i="3"/>
  <c r="H326" i="3"/>
  <c r="G326" i="3"/>
  <c r="L325" i="3"/>
  <c r="K325" i="3"/>
  <c r="J325" i="3"/>
  <c r="I325" i="3"/>
  <c r="H325" i="3"/>
  <c r="G325" i="3"/>
  <c r="L324" i="3"/>
  <c r="K324" i="3"/>
  <c r="J324" i="3"/>
  <c r="I324" i="3"/>
  <c r="H324" i="3"/>
  <c r="G324" i="3"/>
  <c r="L323" i="3"/>
  <c r="K323" i="3"/>
  <c r="J323" i="3"/>
  <c r="I323" i="3"/>
  <c r="H323" i="3"/>
  <c r="G323" i="3"/>
  <c r="L322" i="3"/>
  <c r="K322" i="3"/>
  <c r="J322" i="3"/>
  <c r="I322" i="3"/>
  <c r="H322" i="3"/>
  <c r="G322" i="3"/>
  <c r="L321" i="3"/>
  <c r="K321" i="3"/>
  <c r="J321" i="3"/>
  <c r="I321" i="3"/>
  <c r="H321" i="3"/>
  <c r="G321" i="3"/>
  <c r="L320" i="3"/>
  <c r="K320" i="3"/>
  <c r="J320" i="3"/>
  <c r="I320" i="3"/>
  <c r="H320" i="3"/>
  <c r="G320" i="3"/>
  <c r="L319" i="3"/>
  <c r="K319" i="3"/>
  <c r="J319" i="3"/>
  <c r="I319" i="3"/>
  <c r="H319" i="3"/>
  <c r="G319" i="3"/>
  <c r="L318" i="3"/>
  <c r="K318" i="3"/>
  <c r="J318" i="3"/>
  <c r="I318" i="3"/>
  <c r="H318" i="3"/>
  <c r="G318" i="3"/>
  <c r="L317" i="3"/>
  <c r="K317" i="3"/>
  <c r="J317" i="3"/>
  <c r="I317" i="3"/>
  <c r="H317" i="3"/>
  <c r="G317" i="3"/>
  <c r="L316" i="3"/>
  <c r="K316" i="3"/>
  <c r="J316" i="3"/>
  <c r="I316" i="3"/>
  <c r="H316" i="3"/>
  <c r="G316" i="3"/>
  <c r="L315" i="3"/>
  <c r="K315" i="3"/>
  <c r="J315" i="3"/>
  <c r="I315" i="3"/>
  <c r="H315" i="3"/>
  <c r="G315" i="3"/>
  <c r="L314" i="3"/>
  <c r="K314" i="3"/>
  <c r="J314" i="3"/>
  <c r="I314" i="3"/>
  <c r="H314" i="3"/>
  <c r="G314" i="3"/>
  <c r="L313" i="3"/>
  <c r="K313" i="3"/>
  <c r="J313" i="3"/>
  <c r="I313" i="3"/>
  <c r="H313" i="3"/>
  <c r="G313" i="3"/>
  <c r="L312" i="3"/>
  <c r="K312" i="3"/>
  <c r="J312" i="3"/>
  <c r="I312" i="3"/>
  <c r="H312" i="3"/>
  <c r="G312" i="3"/>
  <c r="L311" i="3"/>
  <c r="K311" i="3"/>
  <c r="J311" i="3"/>
  <c r="I311" i="3"/>
  <c r="H311" i="3"/>
  <c r="G311" i="3"/>
  <c r="L310" i="3"/>
  <c r="K310" i="3"/>
  <c r="J310" i="3"/>
  <c r="I310" i="3"/>
  <c r="H310" i="3"/>
  <c r="G310" i="3"/>
  <c r="L309" i="3"/>
  <c r="K309" i="3"/>
  <c r="J309" i="3"/>
  <c r="I309" i="3"/>
  <c r="H309" i="3"/>
  <c r="G309" i="3"/>
  <c r="L308" i="3"/>
  <c r="K308" i="3"/>
  <c r="J308" i="3"/>
  <c r="I308" i="3"/>
  <c r="H308" i="3"/>
  <c r="G308" i="3"/>
  <c r="L307" i="3"/>
  <c r="K307" i="3"/>
  <c r="J307" i="3"/>
  <c r="I307" i="3"/>
  <c r="H307" i="3"/>
  <c r="G307" i="3"/>
  <c r="L306" i="3"/>
  <c r="K306" i="3"/>
  <c r="J306" i="3"/>
  <c r="I306" i="3"/>
  <c r="H306" i="3"/>
  <c r="G306" i="3"/>
  <c r="L305" i="3"/>
  <c r="K305" i="3"/>
  <c r="J305" i="3"/>
  <c r="I305" i="3"/>
  <c r="H305" i="3"/>
  <c r="G305" i="3"/>
  <c r="L304" i="3"/>
  <c r="K304" i="3"/>
  <c r="J304" i="3"/>
  <c r="I304" i="3"/>
  <c r="H304" i="3"/>
  <c r="G304" i="3"/>
  <c r="L303" i="3"/>
  <c r="K303" i="3"/>
  <c r="J303" i="3"/>
  <c r="I303" i="3"/>
  <c r="H303" i="3"/>
  <c r="G303" i="3"/>
  <c r="L302" i="3"/>
  <c r="K302" i="3"/>
  <c r="J302" i="3"/>
  <c r="I302" i="3"/>
  <c r="H302" i="3"/>
  <c r="G302" i="3"/>
  <c r="L301" i="3"/>
  <c r="K301" i="3"/>
  <c r="J301" i="3"/>
  <c r="I301" i="3"/>
  <c r="H301" i="3"/>
  <c r="G301" i="3"/>
  <c r="L300" i="3"/>
  <c r="K300" i="3"/>
  <c r="J300" i="3"/>
  <c r="I300" i="3"/>
  <c r="H300" i="3"/>
  <c r="G300" i="3"/>
  <c r="L299" i="3"/>
  <c r="K299" i="3"/>
  <c r="J299" i="3"/>
  <c r="I299" i="3"/>
  <c r="H299" i="3"/>
  <c r="G299" i="3"/>
  <c r="L298" i="3"/>
  <c r="K298" i="3"/>
  <c r="J298" i="3"/>
  <c r="I298" i="3"/>
  <c r="H298" i="3"/>
  <c r="G298" i="3"/>
  <c r="L297" i="3"/>
  <c r="K297" i="3"/>
  <c r="J297" i="3"/>
  <c r="I297" i="3"/>
  <c r="H297" i="3"/>
  <c r="G297" i="3"/>
  <c r="L296" i="3"/>
  <c r="K296" i="3"/>
  <c r="J296" i="3"/>
  <c r="I296" i="3"/>
  <c r="H296" i="3"/>
  <c r="G296" i="3"/>
  <c r="L295" i="3"/>
  <c r="K295" i="3"/>
  <c r="J295" i="3"/>
  <c r="I295" i="3"/>
  <c r="H295" i="3"/>
  <c r="G295" i="3"/>
  <c r="L294" i="3"/>
  <c r="K294" i="3"/>
  <c r="J294" i="3"/>
  <c r="I294" i="3"/>
  <c r="H294" i="3"/>
  <c r="G294" i="3"/>
  <c r="L293" i="3"/>
  <c r="K293" i="3"/>
  <c r="J293" i="3"/>
  <c r="I293" i="3"/>
  <c r="H293" i="3"/>
  <c r="G293" i="3"/>
  <c r="L292" i="3"/>
  <c r="K292" i="3"/>
  <c r="J292" i="3"/>
  <c r="I292" i="3"/>
  <c r="H292" i="3"/>
  <c r="G292" i="3"/>
  <c r="L291" i="3"/>
  <c r="K291" i="3"/>
  <c r="J291" i="3"/>
  <c r="I291" i="3"/>
  <c r="H291" i="3"/>
  <c r="G291" i="3"/>
  <c r="L290" i="3"/>
  <c r="K290" i="3"/>
  <c r="J290" i="3"/>
  <c r="I290" i="3"/>
  <c r="H290" i="3"/>
  <c r="G290" i="3"/>
  <c r="L289" i="3"/>
  <c r="K289" i="3"/>
  <c r="J289" i="3"/>
  <c r="I289" i="3"/>
  <c r="H289" i="3"/>
  <c r="G289" i="3"/>
  <c r="L288" i="3"/>
  <c r="K288" i="3"/>
  <c r="J288" i="3"/>
  <c r="I288" i="3"/>
  <c r="H288" i="3"/>
  <c r="G288" i="3"/>
  <c r="L287" i="3"/>
  <c r="K287" i="3"/>
  <c r="J287" i="3"/>
  <c r="I287" i="3"/>
  <c r="H287" i="3"/>
  <c r="G287" i="3"/>
  <c r="L286" i="3"/>
  <c r="K286" i="3"/>
  <c r="J286" i="3"/>
  <c r="I286" i="3"/>
  <c r="H286" i="3"/>
  <c r="G286" i="3"/>
  <c r="L285" i="3"/>
  <c r="K285" i="3"/>
  <c r="J285" i="3"/>
  <c r="I285" i="3"/>
  <c r="H285" i="3"/>
  <c r="G285" i="3"/>
  <c r="L284" i="3"/>
  <c r="K284" i="3"/>
  <c r="J284" i="3"/>
  <c r="I284" i="3"/>
  <c r="H284" i="3"/>
  <c r="G284" i="3"/>
  <c r="L283" i="3"/>
  <c r="K283" i="3"/>
  <c r="J283" i="3"/>
  <c r="I283" i="3"/>
  <c r="H283" i="3"/>
  <c r="G283" i="3"/>
  <c r="L282" i="3"/>
  <c r="K282" i="3"/>
  <c r="J282" i="3"/>
  <c r="I282" i="3"/>
  <c r="H282" i="3"/>
  <c r="G282" i="3"/>
  <c r="L281" i="3"/>
  <c r="K281" i="3"/>
  <c r="J281" i="3"/>
  <c r="I281" i="3"/>
  <c r="H281" i="3"/>
  <c r="G281" i="3"/>
  <c r="L280" i="3"/>
  <c r="K280" i="3"/>
  <c r="J280" i="3"/>
  <c r="I280" i="3"/>
  <c r="H280" i="3"/>
  <c r="G280" i="3"/>
  <c r="L279" i="3"/>
  <c r="K279" i="3"/>
  <c r="J279" i="3"/>
  <c r="I279" i="3"/>
  <c r="H279" i="3"/>
  <c r="G279" i="3"/>
  <c r="L278" i="3"/>
  <c r="K278" i="3"/>
  <c r="J278" i="3"/>
  <c r="I278" i="3"/>
  <c r="H278" i="3"/>
  <c r="G278" i="3"/>
  <c r="L277" i="3"/>
  <c r="K277" i="3"/>
  <c r="J277" i="3"/>
  <c r="I277" i="3"/>
  <c r="H277" i="3"/>
  <c r="G277" i="3"/>
  <c r="L276" i="3"/>
  <c r="K276" i="3"/>
  <c r="J276" i="3"/>
  <c r="I276" i="3"/>
  <c r="H276" i="3"/>
  <c r="G276" i="3"/>
  <c r="L275" i="3"/>
  <c r="K275" i="3"/>
  <c r="J275" i="3"/>
  <c r="I275" i="3"/>
  <c r="H275" i="3"/>
  <c r="G275" i="3"/>
  <c r="L274" i="3"/>
  <c r="K274" i="3"/>
  <c r="J274" i="3"/>
  <c r="I274" i="3"/>
  <c r="H274" i="3"/>
  <c r="G274" i="3"/>
  <c r="L273" i="3"/>
  <c r="K273" i="3"/>
  <c r="J273" i="3"/>
  <c r="I273" i="3"/>
  <c r="H273" i="3"/>
  <c r="G273" i="3"/>
  <c r="L272" i="3"/>
  <c r="K272" i="3"/>
  <c r="J272" i="3"/>
  <c r="I272" i="3"/>
  <c r="H272" i="3"/>
  <c r="G272" i="3"/>
  <c r="L271" i="3"/>
  <c r="K271" i="3"/>
  <c r="J271" i="3"/>
  <c r="I271" i="3"/>
  <c r="H271" i="3"/>
  <c r="G271" i="3"/>
  <c r="L270" i="3"/>
  <c r="K270" i="3"/>
  <c r="J270" i="3"/>
  <c r="I270" i="3"/>
  <c r="H270" i="3"/>
  <c r="G270" i="3"/>
  <c r="L269" i="3"/>
  <c r="K269" i="3"/>
  <c r="J269" i="3"/>
  <c r="I269" i="3"/>
  <c r="H269" i="3"/>
  <c r="G269" i="3"/>
  <c r="L268" i="3"/>
  <c r="K268" i="3"/>
  <c r="J268" i="3"/>
  <c r="I268" i="3"/>
  <c r="H268" i="3"/>
  <c r="G268" i="3"/>
  <c r="L267" i="3"/>
  <c r="K267" i="3"/>
  <c r="J267" i="3"/>
  <c r="I267" i="3"/>
  <c r="H267" i="3"/>
  <c r="G267" i="3"/>
  <c r="L266" i="3"/>
  <c r="K266" i="3"/>
  <c r="J266" i="3"/>
  <c r="I266" i="3"/>
  <c r="H266" i="3"/>
  <c r="G266" i="3"/>
  <c r="L265" i="3"/>
  <c r="K265" i="3"/>
  <c r="J265" i="3"/>
  <c r="I265" i="3"/>
  <c r="H265" i="3"/>
  <c r="G265" i="3"/>
  <c r="L264" i="3"/>
  <c r="K264" i="3"/>
  <c r="J264" i="3"/>
  <c r="I264" i="3"/>
  <c r="H264" i="3"/>
  <c r="G264" i="3"/>
  <c r="L263" i="3"/>
  <c r="K263" i="3"/>
  <c r="J263" i="3"/>
  <c r="I263" i="3"/>
  <c r="H263" i="3"/>
  <c r="G263" i="3"/>
  <c r="L262" i="3"/>
  <c r="K262" i="3"/>
  <c r="J262" i="3"/>
  <c r="I262" i="3"/>
  <c r="H262" i="3"/>
  <c r="G262" i="3"/>
  <c r="L261" i="3"/>
  <c r="K261" i="3"/>
  <c r="J261" i="3"/>
  <c r="I261" i="3"/>
  <c r="H261" i="3"/>
  <c r="G261" i="3"/>
  <c r="L260" i="3"/>
  <c r="K260" i="3"/>
  <c r="J260" i="3"/>
  <c r="I260" i="3"/>
  <c r="H260" i="3"/>
  <c r="G260" i="3"/>
  <c r="L259" i="3"/>
  <c r="K259" i="3"/>
  <c r="J259" i="3"/>
  <c r="I259" i="3"/>
  <c r="H259" i="3"/>
  <c r="G259" i="3"/>
  <c r="L258" i="3"/>
  <c r="K258" i="3"/>
  <c r="J258" i="3"/>
  <c r="I258" i="3"/>
  <c r="H258" i="3"/>
  <c r="G258" i="3"/>
  <c r="L257" i="3"/>
  <c r="K257" i="3"/>
  <c r="J257" i="3"/>
  <c r="I257" i="3"/>
  <c r="H257" i="3"/>
  <c r="G257" i="3"/>
  <c r="L256" i="3"/>
  <c r="K256" i="3"/>
  <c r="J256" i="3"/>
  <c r="I256" i="3"/>
  <c r="H256" i="3"/>
  <c r="G256" i="3"/>
  <c r="L255" i="3"/>
  <c r="K255" i="3"/>
  <c r="J255" i="3"/>
  <c r="I255" i="3"/>
  <c r="H255" i="3"/>
  <c r="G255" i="3"/>
  <c r="L254" i="3"/>
  <c r="K254" i="3"/>
  <c r="J254" i="3"/>
  <c r="I254" i="3"/>
  <c r="H254" i="3"/>
  <c r="G254" i="3"/>
  <c r="L253" i="3"/>
  <c r="K253" i="3"/>
  <c r="J253" i="3"/>
  <c r="I253" i="3"/>
  <c r="H253" i="3"/>
  <c r="G253" i="3"/>
  <c r="L252" i="3"/>
  <c r="K252" i="3"/>
  <c r="J252" i="3"/>
  <c r="I252" i="3"/>
  <c r="H252" i="3"/>
  <c r="G252" i="3"/>
  <c r="L251" i="3"/>
  <c r="K251" i="3"/>
  <c r="J251" i="3"/>
  <c r="I251" i="3"/>
  <c r="H251" i="3"/>
  <c r="G251" i="3"/>
  <c r="L250" i="3"/>
  <c r="K250" i="3"/>
  <c r="J250" i="3"/>
  <c r="I250" i="3"/>
  <c r="H250" i="3"/>
  <c r="G250" i="3"/>
  <c r="L249" i="3"/>
  <c r="K249" i="3"/>
  <c r="J249" i="3"/>
  <c r="I249" i="3"/>
  <c r="H249" i="3"/>
  <c r="G249" i="3"/>
  <c r="L248" i="3"/>
  <c r="K248" i="3"/>
  <c r="J248" i="3"/>
  <c r="I248" i="3"/>
  <c r="H248" i="3"/>
  <c r="G248" i="3"/>
  <c r="L247" i="3"/>
  <c r="K247" i="3"/>
  <c r="J247" i="3"/>
  <c r="I247" i="3"/>
  <c r="H247" i="3"/>
  <c r="G247" i="3"/>
  <c r="L246" i="3"/>
  <c r="K246" i="3"/>
  <c r="J246" i="3"/>
  <c r="I246" i="3"/>
  <c r="H246" i="3"/>
  <c r="G246" i="3"/>
  <c r="L245" i="3"/>
  <c r="K245" i="3"/>
  <c r="J245" i="3"/>
  <c r="I245" i="3"/>
  <c r="H245" i="3"/>
  <c r="G245" i="3"/>
  <c r="L244" i="3"/>
  <c r="K244" i="3"/>
  <c r="J244" i="3"/>
  <c r="I244" i="3"/>
  <c r="H244" i="3"/>
  <c r="G244" i="3"/>
  <c r="L243" i="3"/>
  <c r="K243" i="3"/>
  <c r="J243" i="3"/>
  <c r="I243" i="3"/>
  <c r="H243" i="3"/>
  <c r="G243" i="3"/>
  <c r="L242" i="3"/>
  <c r="K242" i="3"/>
  <c r="J242" i="3"/>
  <c r="I242" i="3"/>
  <c r="H242" i="3"/>
  <c r="G242" i="3"/>
  <c r="L241" i="3"/>
  <c r="K241" i="3"/>
  <c r="J241" i="3"/>
  <c r="I241" i="3"/>
  <c r="H241" i="3"/>
  <c r="G241" i="3"/>
  <c r="L240" i="3"/>
  <c r="K240" i="3"/>
  <c r="J240" i="3"/>
  <c r="I240" i="3"/>
  <c r="H240" i="3"/>
  <c r="G240" i="3"/>
  <c r="L239" i="3"/>
  <c r="K239" i="3"/>
  <c r="J239" i="3"/>
  <c r="I239" i="3"/>
  <c r="H239" i="3"/>
  <c r="G239" i="3"/>
  <c r="L238" i="3"/>
  <c r="K238" i="3"/>
  <c r="J238" i="3"/>
  <c r="I238" i="3"/>
  <c r="H238" i="3"/>
  <c r="G238" i="3"/>
  <c r="L237" i="3"/>
  <c r="K237" i="3"/>
  <c r="J237" i="3"/>
  <c r="I237" i="3"/>
  <c r="H237" i="3"/>
  <c r="G237" i="3"/>
  <c r="L236" i="3"/>
  <c r="K236" i="3"/>
  <c r="J236" i="3"/>
  <c r="I236" i="3"/>
  <c r="H236" i="3"/>
  <c r="G236" i="3"/>
  <c r="L235" i="3"/>
  <c r="K235" i="3"/>
  <c r="J235" i="3"/>
  <c r="I235" i="3"/>
  <c r="H235" i="3"/>
  <c r="G235" i="3"/>
  <c r="L234" i="3"/>
  <c r="K234" i="3"/>
  <c r="J234" i="3"/>
  <c r="I234" i="3"/>
  <c r="H234" i="3"/>
  <c r="G234" i="3"/>
  <c r="L233" i="3"/>
  <c r="K233" i="3"/>
  <c r="J233" i="3"/>
  <c r="I233" i="3"/>
  <c r="H233" i="3"/>
  <c r="G233" i="3"/>
  <c r="L232" i="3"/>
  <c r="K232" i="3"/>
  <c r="J232" i="3"/>
  <c r="I232" i="3"/>
  <c r="H232" i="3"/>
  <c r="G232" i="3"/>
  <c r="L231" i="3"/>
  <c r="K231" i="3"/>
  <c r="J231" i="3"/>
  <c r="I231" i="3"/>
  <c r="H231" i="3"/>
  <c r="G231" i="3"/>
  <c r="L230" i="3"/>
  <c r="K230" i="3"/>
  <c r="J230" i="3"/>
  <c r="I230" i="3"/>
  <c r="H230" i="3"/>
  <c r="G230" i="3"/>
  <c r="L229" i="3"/>
  <c r="K229" i="3"/>
  <c r="J229" i="3"/>
  <c r="I229" i="3"/>
  <c r="H229" i="3"/>
  <c r="G229" i="3"/>
  <c r="L228" i="3"/>
  <c r="K228" i="3"/>
  <c r="J228" i="3"/>
  <c r="I228" i="3"/>
  <c r="H228" i="3"/>
  <c r="G228" i="3"/>
  <c r="L227" i="3"/>
  <c r="K227" i="3"/>
  <c r="J227" i="3"/>
  <c r="I227" i="3"/>
  <c r="H227" i="3"/>
  <c r="G227" i="3"/>
  <c r="L226" i="3"/>
  <c r="K226" i="3"/>
  <c r="J226" i="3"/>
  <c r="I226" i="3"/>
  <c r="H226" i="3"/>
  <c r="G226" i="3"/>
  <c r="L225" i="3"/>
  <c r="K225" i="3"/>
  <c r="J225" i="3"/>
  <c r="I225" i="3"/>
  <c r="H225" i="3"/>
  <c r="G225" i="3"/>
  <c r="L224" i="3"/>
  <c r="K224" i="3"/>
  <c r="J224" i="3"/>
  <c r="I224" i="3"/>
  <c r="H224" i="3"/>
  <c r="G224" i="3"/>
  <c r="L223" i="3"/>
  <c r="K223" i="3"/>
  <c r="J223" i="3"/>
  <c r="I223" i="3"/>
  <c r="H223" i="3"/>
  <c r="G223" i="3"/>
  <c r="L222" i="3"/>
  <c r="K222" i="3"/>
  <c r="J222" i="3"/>
  <c r="I222" i="3"/>
  <c r="H222" i="3"/>
  <c r="G222" i="3"/>
  <c r="L221" i="3"/>
  <c r="K221" i="3"/>
  <c r="J221" i="3"/>
  <c r="I221" i="3"/>
  <c r="H221" i="3"/>
  <c r="G221" i="3"/>
  <c r="L220" i="3"/>
  <c r="K220" i="3"/>
  <c r="J220" i="3"/>
  <c r="I220" i="3"/>
  <c r="H220" i="3"/>
  <c r="G220" i="3"/>
  <c r="L219" i="3"/>
  <c r="K219" i="3"/>
  <c r="J219" i="3"/>
  <c r="I219" i="3"/>
  <c r="H219" i="3"/>
  <c r="G219" i="3"/>
  <c r="L218" i="3"/>
  <c r="K218" i="3"/>
  <c r="J218" i="3"/>
  <c r="I218" i="3"/>
  <c r="H218" i="3"/>
  <c r="G218" i="3"/>
  <c r="L217" i="3"/>
  <c r="K217" i="3"/>
  <c r="J217" i="3"/>
  <c r="I217" i="3"/>
  <c r="H217" i="3"/>
  <c r="G217" i="3"/>
  <c r="L216" i="3"/>
  <c r="K216" i="3"/>
  <c r="J216" i="3"/>
  <c r="I216" i="3"/>
  <c r="H216" i="3"/>
  <c r="G216" i="3"/>
  <c r="L215" i="3"/>
  <c r="K215" i="3"/>
  <c r="J215" i="3"/>
  <c r="I215" i="3"/>
  <c r="H215" i="3"/>
  <c r="G215" i="3"/>
  <c r="L214" i="3"/>
  <c r="K214" i="3"/>
  <c r="J214" i="3"/>
  <c r="I214" i="3"/>
  <c r="H214" i="3"/>
  <c r="G214" i="3"/>
  <c r="L213" i="3"/>
  <c r="K213" i="3"/>
  <c r="J213" i="3"/>
  <c r="I213" i="3"/>
  <c r="H213" i="3"/>
  <c r="G213" i="3"/>
  <c r="L212" i="3"/>
  <c r="K212" i="3"/>
  <c r="J212" i="3"/>
  <c r="I212" i="3"/>
  <c r="H212" i="3"/>
  <c r="G212" i="3"/>
  <c r="L211" i="3"/>
  <c r="K211" i="3"/>
  <c r="J211" i="3"/>
  <c r="I211" i="3"/>
  <c r="H211" i="3"/>
  <c r="G211" i="3"/>
  <c r="L210" i="3"/>
  <c r="K210" i="3"/>
  <c r="J210" i="3"/>
  <c r="I210" i="3"/>
  <c r="H210" i="3"/>
  <c r="G210" i="3"/>
  <c r="L209" i="3"/>
  <c r="K209" i="3"/>
  <c r="J209" i="3"/>
  <c r="I209" i="3"/>
  <c r="H209" i="3"/>
  <c r="G209" i="3"/>
  <c r="L208" i="3"/>
  <c r="K208" i="3"/>
  <c r="J208" i="3"/>
  <c r="I208" i="3"/>
  <c r="H208" i="3"/>
  <c r="G208" i="3"/>
  <c r="L207" i="3"/>
  <c r="K207" i="3"/>
  <c r="J207" i="3"/>
  <c r="I207" i="3"/>
  <c r="H207" i="3"/>
  <c r="G207" i="3"/>
  <c r="L206" i="3"/>
  <c r="K206" i="3"/>
  <c r="J206" i="3"/>
  <c r="I206" i="3"/>
  <c r="H206" i="3"/>
  <c r="G206" i="3"/>
  <c r="L205" i="3"/>
  <c r="K205" i="3"/>
  <c r="J205" i="3"/>
  <c r="I205" i="3"/>
  <c r="H205" i="3"/>
  <c r="G205" i="3"/>
  <c r="L204" i="3"/>
  <c r="K204" i="3"/>
  <c r="J204" i="3"/>
  <c r="I204" i="3"/>
  <c r="H204" i="3"/>
  <c r="G204" i="3"/>
  <c r="L203" i="3"/>
  <c r="K203" i="3"/>
  <c r="J203" i="3"/>
  <c r="I203" i="3"/>
  <c r="H203" i="3"/>
  <c r="G203" i="3"/>
  <c r="L202" i="3"/>
  <c r="K202" i="3"/>
  <c r="J202" i="3"/>
  <c r="I202" i="3"/>
  <c r="H202" i="3"/>
  <c r="G202" i="3"/>
  <c r="L201" i="3"/>
  <c r="K201" i="3"/>
  <c r="J201" i="3"/>
  <c r="I201" i="3"/>
  <c r="H201" i="3"/>
  <c r="G201" i="3"/>
  <c r="L200" i="3"/>
  <c r="K200" i="3"/>
  <c r="J200" i="3"/>
  <c r="I200" i="3"/>
  <c r="H200" i="3"/>
  <c r="G200" i="3"/>
  <c r="L199" i="3"/>
  <c r="K199" i="3"/>
  <c r="J199" i="3"/>
  <c r="I199" i="3"/>
  <c r="H199" i="3"/>
  <c r="G199" i="3"/>
  <c r="L198" i="3"/>
  <c r="K198" i="3"/>
  <c r="J198" i="3"/>
  <c r="I198" i="3"/>
  <c r="H198" i="3"/>
  <c r="G198" i="3"/>
  <c r="L197" i="3"/>
  <c r="K197" i="3"/>
  <c r="J197" i="3"/>
  <c r="I197" i="3"/>
  <c r="H197" i="3"/>
  <c r="G197" i="3"/>
  <c r="L196" i="3"/>
  <c r="K196" i="3"/>
  <c r="J196" i="3"/>
  <c r="I196" i="3"/>
  <c r="H196" i="3"/>
  <c r="G196" i="3"/>
  <c r="L195" i="3"/>
  <c r="K195" i="3"/>
  <c r="J195" i="3"/>
  <c r="I195" i="3"/>
  <c r="H195" i="3"/>
  <c r="G195" i="3"/>
  <c r="L194" i="3"/>
  <c r="K194" i="3"/>
  <c r="J194" i="3"/>
  <c r="I194" i="3"/>
  <c r="H194" i="3"/>
  <c r="G194" i="3"/>
  <c r="L193" i="3"/>
  <c r="K193" i="3"/>
  <c r="J193" i="3"/>
  <c r="I193" i="3"/>
  <c r="H193" i="3"/>
  <c r="G193" i="3"/>
  <c r="L192" i="3"/>
  <c r="K192" i="3"/>
  <c r="J192" i="3"/>
  <c r="I192" i="3"/>
  <c r="H192" i="3"/>
  <c r="G192" i="3"/>
  <c r="L191" i="3"/>
  <c r="K191" i="3"/>
  <c r="J191" i="3"/>
  <c r="I191" i="3"/>
  <c r="H191" i="3"/>
  <c r="G191" i="3"/>
  <c r="L190" i="3"/>
  <c r="K190" i="3"/>
  <c r="J190" i="3"/>
  <c r="I190" i="3"/>
  <c r="H190" i="3"/>
  <c r="G190" i="3"/>
  <c r="L189" i="3"/>
  <c r="K189" i="3"/>
  <c r="J189" i="3"/>
  <c r="I189" i="3"/>
  <c r="H189" i="3"/>
  <c r="G189" i="3"/>
  <c r="L188" i="3"/>
  <c r="K188" i="3"/>
  <c r="J188" i="3"/>
  <c r="I188" i="3"/>
  <c r="H188" i="3"/>
  <c r="G188" i="3"/>
  <c r="L187" i="3"/>
  <c r="K187" i="3"/>
  <c r="J187" i="3"/>
  <c r="I187" i="3"/>
  <c r="H187" i="3"/>
  <c r="G187" i="3"/>
  <c r="L186" i="3"/>
  <c r="K186" i="3"/>
  <c r="J186" i="3"/>
  <c r="I186" i="3"/>
  <c r="H186" i="3"/>
  <c r="G186" i="3"/>
  <c r="L185" i="3"/>
  <c r="K185" i="3"/>
  <c r="J185" i="3"/>
  <c r="I185" i="3"/>
  <c r="H185" i="3"/>
  <c r="G185" i="3"/>
  <c r="L184" i="3"/>
  <c r="K184" i="3"/>
  <c r="J184" i="3"/>
  <c r="I184" i="3"/>
  <c r="H184" i="3"/>
  <c r="G184" i="3"/>
  <c r="L183" i="3"/>
  <c r="K183" i="3"/>
  <c r="J183" i="3"/>
  <c r="I183" i="3"/>
  <c r="H183" i="3"/>
  <c r="G183" i="3"/>
  <c r="L182" i="3"/>
  <c r="K182" i="3"/>
  <c r="J182" i="3"/>
  <c r="I182" i="3"/>
  <c r="H182" i="3"/>
  <c r="G182" i="3"/>
  <c r="L181" i="3"/>
  <c r="K181" i="3"/>
  <c r="J181" i="3"/>
  <c r="I181" i="3"/>
  <c r="H181" i="3"/>
  <c r="G181" i="3"/>
  <c r="L180" i="3"/>
  <c r="K180" i="3"/>
  <c r="J180" i="3"/>
  <c r="I180" i="3"/>
  <c r="H180" i="3"/>
  <c r="G180" i="3"/>
  <c r="L179" i="3"/>
  <c r="K179" i="3"/>
  <c r="J179" i="3"/>
  <c r="I179" i="3"/>
  <c r="H179" i="3"/>
  <c r="G179" i="3"/>
  <c r="L178" i="3"/>
  <c r="K178" i="3"/>
  <c r="J178" i="3"/>
  <c r="I178" i="3"/>
  <c r="H178" i="3"/>
  <c r="G178" i="3"/>
  <c r="L177" i="3"/>
  <c r="K177" i="3"/>
  <c r="J177" i="3"/>
  <c r="I177" i="3"/>
  <c r="H177" i="3"/>
  <c r="G177" i="3"/>
  <c r="L176" i="3"/>
  <c r="K176" i="3"/>
  <c r="J176" i="3"/>
  <c r="I176" i="3"/>
  <c r="H176" i="3"/>
  <c r="G176" i="3"/>
  <c r="L175" i="3"/>
  <c r="K175" i="3"/>
  <c r="J175" i="3"/>
  <c r="I175" i="3"/>
  <c r="H175" i="3"/>
  <c r="G175" i="3"/>
  <c r="L174" i="3"/>
  <c r="K174" i="3"/>
  <c r="J174" i="3"/>
  <c r="I174" i="3"/>
  <c r="H174" i="3"/>
  <c r="G174" i="3"/>
  <c r="L173" i="3"/>
  <c r="K173" i="3"/>
  <c r="J173" i="3"/>
  <c r="I173" i="3"/>
  <c r="H173" i="3"/>
  <c r="G173" i="3"/>
  <c r="L172" i="3"/>
  <c r="K172" i="3"/>
  <c r="J172" i="3"/>
  <c r="I172" i="3"/>
  <c r="H172" i="3"/>
  <c r="G172" i="3"/>
  <c r="L171" i="3"/>
  <c r="K171" i="3"/>
  <c r="J171" i="3"/>
  <c r="I171" i="3"/>
  <c r="H171" i="3"/>
  <c r="G171" i="3"/>
  <c r="L170" i="3"/>
  <c r="K170" i="3"/>
  <c r="J170" i="3"/>
  <c r="I170" i="3"/>
  <c r="H170" i="3"/>
  <c r="G170" i="3"/>
  <c r="L169" i="3"/>
  <c r="K169" i="3"/>
  <c r="J169" i="3"/>
  <c r="I169" i="3"/>
  <c r="H169" i="3"/>
  <c r="G169" i="3"/>
  <c r="L168" i="3"/>
  <c r="K168" i="3"/>
  <c r="J168" i="3"/>
  <c r="I168" i="3"/>
  <c r="H168" i="3"/>
  <c r="G168" i="3"/>
  <c r="L167" i="3"/>
  <c r="K167" i="3"/>
  <c r="J167" i="3"/>
  <c r="I167" i="3"/>
  <c r="H167" i="3"/>
  <c r="G167" i="3"/>
  <c r="L166" i="3"/>
  <c r="K166" i="3"/>
  <c r="J166" i="3"/>
  <c r="I166" i="3"/>
  <c r="H166" i="3"/>
  <c r="G166" i="3"/>
  <c r="L165" i="3"/>
  <c r="K165" i="3"/>
  <c r="J165" i="3"/>
  <c r="I165" i="3"/>
  <c r="H165" i="3"/>
  <c r="G165" i="3"/>
  <c r="L164" i="3"/>
  <c r="K164" i="3"/>
  <c r="J164" i="3"/>
  <c r="I164" i="3"/>
  <c r="H164" i="3"/>
  <c r="G164" i="3"/>
  <c r="L163" i="3"/>
  <c r="K163" i="3"/>
  <c r="J163" i="3"/>
  <c r="I163" i="3"/>
  <c r="H163" i="3"/>
  <c r="G163" i="3"/>
  <c r="L162" i="3"/>
  <c r="K162" i="3"/>
  <c r="J162" i="3"/>
  <c r="I162" i="3"/>
  <c r="H162" i="3"/>
  <c r="G162" i="3"/>
  <c r="L161" i="3"/>
  <c r="K161" i="3"/>
  <c r="J161" i="3"/>
  <c r="I161" i="3"/>
  <c r="H161" i="3"/>
  <c r="G161" i="3"/>
  <c r="L160" i="3"/>
  <c r="K160" i="3"/>
  <c r="J160" i="3"/>
  <c r="I160" i="3"/>
  <c r="H160" i="3"/>
  <c r="G160" i="3"/>
  <c r="L159" i="3"/>
  <c r="K159" i="3"/>
  <c r="J159" i="3"/>
  <c r="I159" i="3"/>
  <c r="H159" i="3"/>
  <c r="G159" i="3"/>
  <c r="L158" i="3"/>
  <c r="K158" i="3"/>
  <c r="J158" i="3"/>
  <c r="I158" i="3"/>
  <c r="H158" i="3"/>
  <c r="G158" i="3"/>
  <c r="L157" i="3"/>
  <c r="K157" i="3"/>
  <c r="J157" i="3"/>
  <c r="I157" i="3"/>
  <c r="H157" i="3"/>
  <c r="G157" i="3"/>
  <c r="L156" i="3"/>
  <c r="K156" i="3"/>
  <c r="J156" i="3"/>
  <c r="I156" i="3"/>
  <c r="H156" i="3"/>
  <c r="G156" i="3"/>
  <c r="L155" i="3"/>
  <c r="K155" i="3"/>
  <c r="J155" i="3"/>
  <c r="I155" i="3"/>
  <c r="H155" i="3"/>
  <c r="G155" i="3"/>
  <c r="L154" i="3"/>
  <c r="K154" i="3"/>
  <c r="J154" i="3"/>
  <c r="I154" i="3"/>
  <c r="H154" i="3"/>
  <c r="G154" i="3"/>
  <c r="L153" i="3"/>
  <c r="K153" i="3"/>
  <c r="J153" i="3"/>
  <c r="I153" i="3"/>
  <c r="H153" i="3"/>
  <c r="G153" i="3"/>
  <c r="L152" i="3"/>
  <c r="K152" i="3"/>
  <c r="J152" i="3"/>
  <c r="I152" i="3"/>
  <c r="H152" i="3"/>
  <c r="G152" i="3"/>
  <c r="L151" i="3"/>
  <c r="K151" i="3"/>
  <c r="J151" i="3"/>
  <c r="I151" i="3"/>
  <c r="H151" i="3"/>
  <c r="G151" i="3"/>
  <c r="L150" i="3"/>
  <c r="K150" i="3"/>
  <c r="J150" i="3"/>
  <c r="I150" i="3"/>
  <c r="H150" i="3"/>
  <c r="G150" i="3"/>
  <c r="L149" i="3"/>
  <c r="K149" i="3"/>
  <c r="J149" i="3"/>
  <c r="I149" i="3"/>
  <c r="H149" i="3"/>
  <c r="G149" i="3"/>
  <c r="L148" i="3"/>
  <c r="K148" i="3"/>
  <c r="J148" i="3"/>
  <c r="I148" i="3"/>
  <c r="H148" i="3"/>
  <c r="G148" i="3"/>
  <c r="L147" i="3"/>
  <c r="K147" i="3"/>
  <c r="J147" i="3"/>
  <c r="I147" i="3"/>
  <c r="H147" i="3"/>
  <c r="G147" i="3"/>
  <c r="L146" i="3"/>
  <c r="K146" i="3"/>
  <c r="J146" i="3"/>
  <c r="I146" i="3"/>
  <c r="H146" i="3"/>
  <c r="G146" i="3"/>
  <c r="L145" i="3"/>
  <c r="K145" i="3"/>
  <c r="J145" i="3"/>
  <c r="I145" i="3"/>
  <c r="H145" i="3"/>
  <c r="G145" i="3"/>
  <c r="L144" i="3"/>
  <c r="K144" i="3"/>
  <c r="J144" i="3"/>
  <c r="I144" i="3"/>
  <c r="H144" i="3"/>
  <c r="G144" i="3"/>
  <c r="L143" i="3"/>
  <c r="K143" i="3"/>
  <c r="J143" i="3"/>
  <c r="I143" i="3"/>
  <c r="H143" i="3"/>
  <c r="G143" i="3"/>
  <c r="L142" i="3"/>
  <c r="K142" i="3"/>
  <c r="J142" i="3"/>
  <c r="I142" i="3"/>
  <c r="H142" i="3"/>
  <c r="G142" i="3"/>
  <c r="L141" i="3"/>
  <c r="K141" i="3"/>
  <c r="J141" i="3"/>
  <c r="I141" i="3"/>
  <c r="H141" i="3"/>
  <c r="G141" i="3"/>
  <c r="L140" i="3"/>
  <c r="K140" i="3"/>
  <c r="J140" i="3"/>
  <c r="I140" i="3"/>
  <c r="H140" i="3"/>
  <c r="G140" i="3"/>
  <c r="L139" i="3"/>
  <c r="K139" i="3"/>
  <c r="J139" i="3"/>
  <c r="I139" i="3"/>
  <c r="H139" i="3"/>
  <c r="G139" i="3"/>
  <c r="L138" i="3"/>
  <c r="K138" i="3"/>
  <c r="J138" i="3"/>
  <c r="I138" i="3"/>
  <c r="H138" i="3"/>
  <c r="G138" i="3"/>
  <c r="L137" i="3"/>
  <c r="K137" i="3"/>
  <c r="J137" i="3"/>
  <c r="I137" i="3"/>
  <c r="H137" i="3"/>
  <c r="G137" i="3"/>
  <c r="L136" i="3"/>
  <c r="K136" i="3"/>
  <c r="J136" i="3"/>
  <c r="I136" i="3"/>
  <c r="H136" i="3"/>
  <c r="G136" i="3"/>
  <c r="L135" i="3"/>
  <c r="K135" i="3"/>
  <c r="J135" i="3"/>
  <c r="I135" i="3"/>
  <c r="H135" i="3"/>
  <c r="G135" i="3"/>
  <c r="L134" i="3"/>
  <c r="K134" i="3"/>
  <c r="J134" i="3"/>
  <c r="I134" i="3"/>
  <c r="H134" i="3"/>
  <c r="G134" i="3"/>
  <c r="L133" i="3"/>
  <c r="K133" i="3"/>
  <c r="J133" i="3"/>
  <c r="I133" i="3"/>
  <c r="H133" i="3"/>
  <c r="G133" i="3"/>
  <c r="L132" i="3"/>
  <c r="K132" i="3"/>
  <c r="J132" i="3"/>
  <c r="I132" i="3"/>
  <c r="H132" i="3"/>
  <c r="G132" i="3"/>
  <c r="L131" i="3"/>
  <c r="K131" i="3"/>
  <c r="J131" i="3"/>
  <c r="I131" i="3"/>
  <c r="H131" i="3"/>
  <c r="G131" i="3"/>
  <c r="L130" i="3"/>
  <c r="K130" i="3"/>
  <c r="J130" i="3"/>
  <c r="I130" i="3"/>
  <c r="H130" i="3"/>
  <c r="G130" i="3"/>
  <c r="L129" i="3"/>
  <c r="K129" i="3"/>
  <c r="J129" i="3"/>
  <c r="I129" i="3"/>
  <c r="H129" i="3"/>
  <c r="G129" i="3"/>
  <c r="L128" i="3"/>
  <c r="K128" i="3"/>
  <c r="J128" i="3"/>
  <c r="I128" i="3"/>
  <c r="H128" i="3"/>
  <c r="G128" i="3"/>
  <c r="L127" i="3"/>
  <c r="K127" i="3"/>
  <c r="J127" i="3"/>
  <c r="I127" i="3"/>
  <c r="H127" i="3"/>
  <c r="G127" i="3"/>
  <c r="L126" i="3"/>
  <c r="K126" i="3"/>
  <c r="J126" i="3"/>
  <c r="I126" i="3"/>
  <c r="H126" i="3"/>
  <c r="G126" i="3"/>
  <c r="L125" i="3"/>
  <c r="K125" i="3"/>
  <c r="J125" i="3"/>
  <c r="I125" i="3"/>
  <c r="H125" i="3"/>
  <c r="G125" i="3"/>
  <c r="L124" i="3"/>
  <c r="K124" i="3"/>
  <c r="J124" i="3"/>
  <c r="I124" i="3"/>
  <c r="H124" i="3"/>
  <c r="G124" i="3"/>
  <c r="L123" i="3"/>
  <c r="K123" i="3"/>
  <c r="J123" i="3"/>
  <c r="I123" i="3"/>
  <c r="H123" i="3"/>
  <c r="G123" i="3"/>
  <c r="L122" i="3"/>
  <c r="K122" i="3"/>
  <c r="J122" i="3"/>
  <c r="I122" i="3"/>
  <c r="H122" i="3"/>
  <c r="G122" i="3"/>
  <c r="L121" i="3"/>
  <c r="K121" i="3"/>
  <c r="J121" i="3"/>
  <c r="I121" i="3"/>
  <c r="H121" i="3"/>
  <c r="G121" i="3"/>
  <c r="L120" i="3"/>
  <c r="K120" i="3"/>
  <c r="J120" i="3"/>
  <c r="I120" i="3"/>
  <c r="H120" i="3"/>
  <c r="G120" i="3"/>
  <c r="L119" i="3"/>
  <c r="K119" i="3"/>
  <c r="J119" i="3"/>
  <c r="I119" i="3"/>
  <c r="H119" i="3"/>
  <c r="G119" i="3"/>
  <c r="L118" i="3"/>
  <c r="K118" i="3"/>
  <c r="J118" i="3"/>
  <c r="I118" i="3"/>
  <c r="H118" i="3"/>
  <c r="G118" i="3"/>
  <c r="L117" i="3"/>
  <c r="K117" i="3"/>
  <c r="J117" i="3"/>
  <c r="I117" i="3"/>
  <c r="H117" i="3"/>
  <c r="G117" i="3"/>
  <c r="L116" i="3"/>
  <c r="K116" i="3"/>
  <c r="J116" i="3"/>
  <c r="I116" i="3"/>
  <c r="H116" i="3"/>
  <c r="G116" i="3"/>
  <c r="L115" i="3"/>
  <c r="K115" i="3"/>
  <c r="J115" i="3"/>
  <c r="I115" i="3"/>
  <c r="H115" i="3"/>
  <c r="G115" i="3"/>
  <c r="L114" i="3"/>
  <c r="K114" i="3"/>
  <c r="J114" i="3"/>
  <c r="I114" i="3"/>
  <c r="H114" i="3"/>
  <c r="G114" i="3"/>
  <c r="L113" i="3"/>
  <c r="K113" i="3"/>
  <c r="J113" i="3"/>
  <c r="I113" i="3"/>
  <c r="H113" i="3"/>
  <c r="G113" i="3"/>
  <c r="L112" i="3"/>
  <c r="K112" i="3"/>
  <c r="J112" i="3"/>
  <c r="I112" i="3"/>
  <c r="H112" i="3"/>
  <c r="G112" i="3"/>
  <c r="L111" i="3"/>
  <c r="K111" i="3"/>
  <c r="J111" i="3"/>
  <c r="I111" i="3"/>
  <c r="H111" i="3"/>
  <c r="G111" i="3"/>
  <c r="L110" i="3"/>
  <c r="K110" i="3"/>
  <c r="J110" i="3"/>
  <c r="I110" i="3"/>
  <c r="H110" i="3"/>
  <c r="G110" i="3"/>
  <c r="L109" i="3"/>
  <c r="K109" i="3"/>
  <c r="J109" i="3"/>
  <c r="I109" i="3"/>
  <c r="H109" i="3"/>
  <c r="G109" i="3"/>
  <c r="L108" i="3"/>
  <c r="K108" i="3"/>
  <c r="J108" i="3"/>
  <c r="I108" i="3"/>
  <c r="H108" i="3"/>
  <c r="G108" i="3"/>
  <c r="L107" i="3"/>
  <c r="K107" i="3"/>
  <c r="J107" i="3"/>
  <c r="I107" i="3"/>
  <c r="H107" i="3"/>
  <c r="G107" i="3"/>
  <c r="L106" i="3"/>
  <c r="K106" i="3"/>
  <c r="J106" i="3"/>
  <c r="I106" i="3"/>
  <c r="H106" i="3"/>
  <c r="G106" i="3"/>
  <c r="L105" i="3"/>
  <c r="K105" i="3"/>
  <c r="J105" i="3"/>
  <c r="I105" i="3"/>
  <c r="H105" i="3"/>
  <c r="G105" i="3"/>
  <c r="L104" i="3"/>
  <c r="K104" i="3"/>
  <c r="J104" i="3"/>
  <c r="I104" i="3"/>
  <c r="H104" i="3"/>
  <c r="G104" i="3"/>
  <c r="L103" i="3"/>
  <c r="K103" i="3"/>
  <c r="J103" i="3"/>
  <c r="I103" i="3"/>
  <c r="H103" i="3"/>
  <c r="G103" i="3"/>
  <c r="L102" i="3"/>
  <c r="K102" i="3"/>
  <c r="J102" i="3"/>
  <c r="I102" i="3"/>
  <c r="H102" i="3"/>
  <c r="G102" i="3"/>
  <c r="L101" i="3"/>
  <c r="K101" i="3"/>
  <c r="J101" i="3"/>
  <c r="I101" i="3"/>
  <c r="H101" i="3"/>
  <c r="G101" i="3"/>
  <c r="L100" i="3"/>
  <c r="K100" i="3"/>
  <c r="J100" i="3"/>
  <c r="I100" i="3"/>
  <c r="H100" i="3"/>
  <c r="G100" i="3"/>
  <c r="L99" i="3"/>
  <c r="K99" i="3"/>
  <c r="J99" i="3"/>
  <c r="I99" i="3"/>
  <c r="H99" i="3"/>
  <c r="G99" i="3"/>
  <c r="L98" i="3"/>
  <c r="K98" i="3"/>
  <c r="J98" i="3"/>
  <c r="I98" i="3"/>
  <c r="H98" i="3"/>
  <c r="G98" i="3"/>
  <c r="L97" i="3"/>
  <c r="K97" i="3"/>
  <c r="J97" i="3"/>
  <c r="I97" i="3"/>
  <c r="H97" i="3"/>
  <c r="G97" i="3"/>
  <c r="L96" i="3"/>
  <c r="K96" i="3"/>
  <c r="J96" i="3"/>
  <c r="I96" i="3"/>
  <c r="H96" i="3"/>
  <c r="G96" i="3"/>
  <c r="L95" i="3"/>
  <c r="K95" i="3"/>
  <c r="J95" i="3"/>
  <c r="I95" i="3"/>
  <c r="H95" i="3"/>
  <c r="G95" i="3"/>
  <c r="L94" i="3"/>
  <c r="K94" i="3"/>
  <c r="J94" i="3"/>
  <c r="I94" i="3"/>
  <c r="H94" i="3"/>
  <c r="G94" i="3"/>
  <c r="L93" i="3"/>
  <c r="K93" i="3"/>
  <c r="J93" i="3"/>
  <c r="I93" i="3"/>
  <c r="H93" i="3"/>
  <c r="G93" i="3"/>
  <c r="L92" i="3"/>
  <c r="K92" i="3"/>
  <c r="J92" i="3"/>
  <c r="I92" i="3"/>
  <c r="H92" i="3"/>
  <c r="G92" i="3"/>
  <c r="L91" i="3"/>
  <c r="K91" i="3"/>
  <c r="J91" i="3"/>
  <c r="I91" i="3"/>
  <c r="H91" i="3"/>
  <c r="G91" i="3"/>
  <c r="L90" i="3"/>
  <c r="K90" i="3"/>
  <c r="J90" i="3"/>
  <c r="I90" i="3"/>
  <c r="H90" i="3"/>
  <c r="G90" i="3"/>
  <c r="L89" i="3"/>
  <c r="K89" i="3"/>
  <c r="J89" i="3"/>
  <c r="I89" i="3"/>
  <c r="H89" i="3"/>
  <c r="G89" i="3"/>
  <c r="L88" i="3"/>
  <c r="K88" i="3"/>
  <c r="J88" i="3"/>
  <c r="I88" i="3"/>
  <c r="H88" i="3"/>
  <c r="G88" i="3"/>
  <c r="L87" i="3"/>
  <c r="K87" i="3"/>
  <c r="J87" i="3"/>
  <c r="I87" i="3"/>
  <c r="H87" i="3"/>
  <c r="G87" i="3"/>
  <c r="L86" i="3"/>
  <c r="K86" i="3"/>
  <c r="J86" i="3"/>
  <c r="I86" i="3"/>
  <c r="H86" i="3"/>
  <c r="G86" i="3"/>
  <c r="L85" i="3"/>
  <c r="K85" i="3"/>
  <c r="J85" i="3"/>
  <c r="I85" i="3"/>
  <c r="H85" i="3"/>
  <c r="G85" i="3"/>
  <c r="L84" i="3"/>
  <c r="K84" i="3"/>
  <c r="J84" i="3"/>
  <c r="I84" i="3"/>
  <c r="H84" i="3"/>
  <c r="G84" i="3"/>
  <c r="L83" i="3"/>
  <c r="K83" i="3"/>
  <c r="J83" i="3"/>
  <c r="I83" i="3"/>
  <c r="H83" i="3"/>
  <c r="G83" i="3"/>
  <c r="L82" i="3"/>
  <c r="K82" i="3"/>
  <c r="J82" i="3"/>
  <c r="I82" i="3"/>
  <c r="H82" i="3"/>
  <c r="G82" i="3"/>
  <c r="L81" i="3"/>
  <c r="K81" i="3"/>
  <c r="J81" i="3"/>
  <c r="I81" i="3"/>
  <c r="H81" i="3"/>
  <c r="G81" i="3"/>
  <c r="L80" i="3"/>
  <c r="K80" i="3"/>
  <c r="J80" i="3"/>
  <c r="I80" i="3"/>
  <c r="H80" i="3"/>
  <c r="G80" i="3"/>
  <c r="L79" i="3"/>
  <c r="K79" i="3"/>
  <c r="J79" i="3"/>
  <c r="I79" i="3"/>
  <c r="H79" i="3"/>
  <c r="G79" i="3"/>
  <c r="L78" i="3"/>
  <c r="K78" i="3"/>
  <c r="J78" i="3"/>
  <c r="I78" i="3"/>
  <c r="H78" i="3"/>
  <c r="G78" i="3"/>
  <c r="L77" i="3"/>
  <c r="K77" i="3"/>
  <c r="J77" i="3"/>
  <c r="I77" i="3"/>
  <c r="H77" i="3"/>
  <c r="G77" i="3"/>
  <c r="L76" i="3"/>
  <c r="K76" i="3"/>
  <c r="J76" i="3"/>
  <c r="I76" i="3"/>
  <c r="H76" i="3"/>
  <c r="G76" i="3"/>
  <c r="L75" i="3"/>
  <c r="K75" i="3"/>
  <c r="J75" i="3"/>
  <c r="I75" i="3"/>
  <c r="H75" i="3"/>
  <c r="G75" i="3"/>
  <c r="L74" i="3"/>
  <c r="K74" i="3"/>
  <c r="J74" i="3"/>
  <c r="I74" i="3"/>
  <c r="H74" i="3"/>
  <c r="G74" i="3"/>
  <c r="L73" i="3"/>
  <c r="K73" i="3"/>
  <c r="J73" i="3"/>
  <c r="I73" i="3"/>
  <c r="H73" i="3"/>
  <c r="G73" i="3"/>
  <c r="L72" i="3"/>
  <c r="K72" i="3"/>
  <c r="J72" i="3"/>
  <c r="I72" i="3"/>
  <c r="H72" i="3"/>
  <c r="G72" i="3"/>
  <c r="L71" i="3"/>
  <c r="K71" i="3"/>
  <c r="J71" i="3"/>
  <c r="I71" i="3"/>
  <c r="H71" i="3"/>
  <c r="G71" i="3"/>
  <c r="L70" i="3"/>
  <c r="K70" i="3"/>
  <c r="J70" i="3"/>
  <c r="I70" i="3"/>
  <c r="H70" i="3"/>
  <c r="G70" i="3"/>
  <c r="L69" i="3"/>
  <c r="K69" i="3"/>
  <c r="J69" i="3"/>
  <c r="I69" i="3"/>
  <c r="H69" i="3"/>
  <c r="G69" i="3"/>
  <c r="L68" i="3"/>
  <c r="K68" i="3"/>
  <c r="J68" i="3"/>
  <c r="I68" i="3"/>
  <c r="H68" i="3"/>
  <c r="G68" i="3"/>
  <c r="L67" i="3"/>
  <c r="K67" i="3"/>
  <c r="J67" i="3"/>
  <c r="I67" i="3"/>
  <c r="H67" i="3"/>
  <c r="G67" i="3"/>
  <c r="L66" i="3"/>
  <c r="K66" i="3"/>
  <c r="J66" i="3"/>
  <c r="I66" i="3"/>
  <c r="H66" i="3"/>
  <c r="G66" i="3"/>
  <c r="L65" i="3"/>
  <c r="K65" i="3"/>
  <c r="J65" i="3"/>
  <c r="I65" i="3"/>
  <c r="H65" i="3"/>
  <c r="G65" i="3"/>
  <c r="L64" i="3"/>
  <c r="K64" i="3"/>
  <c r="J64" i="3"/>
  <c r="I64" i="3"/>
  <c r="H64" i="3"/>
  <c r="G64" i="3"/>
  <c r="L63" i="3"/>
  <c r="K63" i="3"/>
  <c r="J63" i="3"/>
  <c r="I63" i="3"/>
  <c r="H63" i="3"/>
  <c r="G63" i="3"/>
  <c r="L62" i="3"/>
  <c r="K62" i="3"/>
  <c r="J62" i="3"/>
  <c r="I62" i="3"/>
  <c r="H62" i="3"/>
  <c r="G62" i="3"/>
  <c r="L61" i="3"/>
  <c r="K61" i="3"/>
  <c r="J61" i="3"/>
  <c r="I61" i="3"/>
  <c r="H61" i="3"/>
  <c r="G61" i="3"/>
  <c r="L60" i="3"/>
  <c r="K60" i="3"/>
  <c r="J60" i="3"/>
  <c r="I60" i="3"/>
  <c r="H60" i="3"/>
  <c r="G60" i="3"/>
  <c r="L59" i="3"/>
  <c r="K59" i="3"/>
  <c r="J59" i="3"/>
  <c r="I59" i="3"/>
  <c r="H59" i="3"/>
  <c r="G59" i="3"/>
  <c r="L58" i="3"/>
  <c r="K58" i="3"/>
  <c r="J58" i="3"/>
  <c r="I58" i="3"/>
  <c r="H58" i="3"/>
  <c r="G58" i="3"/>
  <c r="L57" i="3"/>
  <c r="K57" i="3"/>
  <c r="J57" i="3"/>
  <c r="I57" i="3"/>
  <c r="H57" i="3"/>
  <c r="G57" i="3"/>
  <c r="L56" i="3"/>
  <c r="K56" i="3"/>
  <c r="J56" i="3"/>
  <c r="I56" i="3"/>
  <c r="H56" i="3"/>
  <c r="G56" i="3"/>
  <c r="L55" i="3"/>
  <c r="K55" i="3"/>
  <c r="J55" i="3"/>
  <c r="I55" i="3"/>
  <c r="H55" i="3"/>
  <c r="G55" i="3"/>
  <c r="L54" i="3"/>
  <c r="K54" i="3"/>
  <c r="J54" i="3"/>
  <c r="I54" i="3"/>
  <c r="H54" i="3"/>
  <c r="G54" i="3"/>
  <c r="L53" i="3"/>
  <c r="K53" i="3"/>
  <c r="J53" i="3"/>
  <c r="I53" i="3"/>
  <c r="H53" i="3"/>
  <c r="G53" i="3"/>
  <c r="L52" i="3"/>
  <c r="K52" i="3"/>
  <c r="J52" i="3"/>
  <c r="I52" i="3"/>
  <c r="H52" i="3"/>
  <c r="G52" i="3"/>
  <c r="L51" i="3"/>
  <c r="K51" i="3"/>
  <c r="J51" i="3"/>
  <c r="I51" i="3"/>
  <c r="H51" i="3"/>
  <c r="G51" i="3"/>
  <c r="L50" i="3"/>
  <c r="K50" i="3"/>
  <c r="J50" i="3"/>
  <c r="I50" i="3"/>
  <c r="H50" i="3"/>
  <c r="G50" i="3"/>
  <c r="L49" i="3"/>
  <c r="K49" i="3"/>
  <c r="J49" i="3"/>
  <c r="I49" i="3"/>
  <c r="H49" i="3"/>
  <c r="G49" i="3"/>
  <c r="L48" i="3"/>
  <c r="K48" i="3"/>
  <c r="J48" i="3"/>
  <c r="I48" i="3"/>
  <c r="H48" i="3"/>
  <c r="G48" i="3"/>
  <c r="L47" i="3"/>
  <c r="K47" i="3"/>
  <c r="J47" i="3"/>
  <c r="I47" i="3"/>
  <c r="H47" i="3"/>
  <c r="G47" i="3"/>
  <c r="L46" i="3"/>
  <c r="K46" i="3"/>
  <c r="J46" i="3"/>
  <c r="I46" i="3"/>
  <c r="H46" i="3"/>
  <c r="G46" i="3"/>
  <c r="L45" i="3"/>
  <c r="K45" i="3"/>
  <c r="J45" i="3"/>
  <c r="I45" i="3"/>
  <c r="H45" i="3"/>
  <c r="G45" i="3"/>
  <c r="L44" i="3"/>
  <c r="K44" i="3"/>
  <c r="J44" i="3"/>
  <c r="I44" i="3"/>
  <c r="H44" i="3"/>
  <c r="G44" i="3"/>
  <c r="L43" i="3"/>
  <c r="K43" i="3"/>
  <c r="J43" i="3"/>
  <c r="I43" i="3"/>
  <c r="H43" i="3"/>
  <c r="G43" i="3"/>
  <c r="L42" i="3"/>
  <c r="K42" i="3"/>
  <c r="J42" i="3"/>
  <c r="I42" i="3"/>
  <c r="H42" i="3"/>
  <c r="G42" i="3"/>
  <c r="L41" i="3"/>
  <c r="K41" i="3"/>
  <c r="J41" i="3"/>
  <c r="I41" i="3"/>
  <c r="H41" i="3"/>
  <c r="G41" i="3"/>
  <c r="L40" i="3"/>
  <c r="K40" i="3"/>
  <c r="J40" i="3"/>
  <c r="I40" i="3"/>
  <c r="H40" i="3"/>
  <c r="G40" i="3"/>
  <c r="L39" i="3"/>
  <c r="K39" i="3"/>
  <c r="J39" i="3"/>
  <c r="I39" i="3"/>
  <c r="H39" i="3"/>
  <c r="G39" i="3"/>
  <c r="L38" i="3"/>
  <c r="K38" i="3"/>
  <c r="J38" i="3"/>
  <c r="I38" i="3"/>
  <c r="H38" i="3"/>
  <c r="G38" i="3"/>
  <c r="L37" i="3"/>
  <c r="K37" i="3"/>
  <c r="J37" i="3"/>
  <c r="I37" i="3"/>
  <c r="H37" i="3"/>
  <c r="G37" i="3"/>
  <c r="L36" i="3"/>
  <c r="K36" i="3"/>
  <c r="J36" i="3"/>
  <c r="I36" i="3"/>
  <c r="H36" i="3"/>
  <c r="G36" i="3"/>
  <c r="L35" i="3"/>
  <c r="K35" i="3"/>
  <c r="J35" i="3"/>
  <c r="I35" i="3"/>
  <c r="H35" i="3"/>
  <c r="G35" i="3"/>
  <c r="L34" i="3"/>
  <c r="K34" i="3"/>
  <c r="J34" i="3"/>
  <c r="I34" i="3"/>
  <c r="H34" i="3"/>
  <c r="G34" i="3"/>
  <c r="L33" i="3"/>
  <c r="K33" i="3"/>
  <c r="J33" i="3"/>
  <c r="I33" i="3"/>
  <c r="H33" i="3"/>
  <c r="G33" i="3"/>
  <c r="L32" i="3"/>
  <c r="K32" i="3"/>
  <c r="J32" i="3"/>
  <c r="I32" i="3"/>
  <c r="H32" i="3"/>
  <c r="G32" i="3"/>
  <c r="L31" i="3"/>
  <c r="K31" i="3"/>
  <c r="J31" i="3"/>
  <c r="I31" i="3"/>
  <c r="H31" i="3"/>
  <c r="G31" i="3"/>
  <c r="L30" i="3"/>
  <c r="K30" i="3"/>
  <c r="J30" i="3"/>
  <c r="I30" i="3"/>
  <c r="H30" i="3"/>
  <c r="G30" i="3"/>
  <c r="L29" i="3"/>
  <c r="K29" i="3"/>
  <c r="J29" i="3"/>
  <c r="I29" i="3"/>
  <c r="H29" i="3"/>
  <c r="G29" i="3"/>
  <c r="L28" i="3"/>
  <c r="K28" i="3"/>
  <c r="J28" i="3"/>
  <c r="I28" i="3"/>
  <c r="H28" i="3"/>
  <c r="G28" i="3"/>
  <c r="L27" i="3"/>
  <c r="K27" i="3"/>
  <c r="J27" i="3"/>
  <c r="I27" i="3"/>
  <c r="H27" i="3"/>
  <c r="G27" i="3"/>
  <c r="L26" i="3"/>
  <c r="K26" i="3"/>
  <c r="J26" i="3"/>
  <c r="I26" i="3"/>
  <c r="H26" i="3"/>
  <c r="G26" i="3"/>
  <c r="L25" i="3"/>
  <c r="K25" i="3"/>
  <c r="J25" i="3"/>
  <c r="I25" i="3"/>
  <c r="H25" i="3"/>
  <c r="G25" i="3"/>
  <c r="L24" i="3"/>
  <c r="K24" i="3"/>
  <c r="J24" i="3"/>
  <c r="I24" i="3"/>
  <c r="H24" i="3"/>
  <c r="G24" i="3"/>
  <c r="L23" i="3"/>
  <c r="K23" i="3"/>
  <c r="J23" i="3"/>
  <c r="I23" i="3"/>
  <c r="H23" i="3"/>
  <c r="G23" i="3"/>
  <c r="L22" i="3"/>
  <c r="K22" i="3"/>
  <c r="J22" i="3"/>
  <c r="I22" i="3"/>
  <c r="H22" i="3"/>
  <c r="G22" i="3"/>
  <c r="L21" i="3"/>
  <c r="K21" i="3"/>
  <c r="J21" i="3"/>
  <c r="I21" i="3"/>
  <c r="H21" i="3"/>
  <c r="G21" i="3"/>
  <c r="L20" i="3"/>
  <c r="K20" i="3"/>
  <c r="J20" i="3"/>
  <c r="I20" i="3"/>
  <c r="H20" i="3"/>
  <c r="G20" i="3"/>
  <c r="L19" i="3"/>
  <c r="K19" i="3"/>
  <c r="J19" i="3"/>
  <c r="I19" i="3"/>
  <c r="H19" i="3"/>
  <c r="G19" i="3"/>
  <c r="L18" i="3"/>
  <c r="K18" i="3"/>
  <c r="J18" i="3"/>
  <c r="I18" i="3"/>
  <c r="H18" i="3"/>
  <c r="G18" i="3"/>
  <c r="L17" i="3"/>
  <c r="K17" i="3"/>
  <c r="J17" i="3"/>
  <c r="I17" i="3"/>
  <c r="H17" i="3"/>
  <c r="G17" i="3"/>
  <c r="L16" i="3"/>
  <c r="K16" i="3"/>
  <c r="J16" i="3"/>
  <c r="I16" i="3"/>
  <c r="H16" i="3"/>
  <c r="G16" i="3"/>
  <c r="L15" i="3"/>
  <c r="K15" i="3"/>
  <c r="J15" i="3"/>
  <c r="I15" i="3"/>
  <c r="H15" i="3"/>
  <c r="G15" i="3"/>
  <c r="L14" i="3"/>
  <c r="K14" i="3"/>
  <c r="J14" i="3"/>
  <c r="I14" i="3"/>
  <c r="H14" i="3"/>
  <c r="G14" i="3"/>
  <c r="L13" i="3"/>
  <c r="K13" i="3"/>
  <c r="J13" i="3"/>
  <c r="I13" i="3"/>
  <c r="H13" i="3"/>
  <c r="G13" i="3"/>
  <c r="L12" i="3"/>
  <c r="K12" i="3"/>
  <c r="J12" i="3"/>
  <c r="I12" i="3"/>
  <c r="H12" i="3"/>
  <c r="G12" i="3"/>
  <c r="L11" i="3"/>
  <c r="K11" i="3"/>
  <c r="J11" i="3"/>
  <c r="I11" i="3"/>
  <c r="H11" i="3"/>
  <c r="G11" i="3"/>
  <c r="L10" i="3"/>
  <c r="K10" i="3"/>
  <c r="J10" i="3"/>
  <c r="I10" i="3"/>
  <c r="H10" i="3"/>
  <c r="G10" i="3"/>
  <c r="L9" i="3"/>
  <c r="K9" i="3"/>
  <c r="J9" i="3"/>
  <c r="I9" i="3"/>
  <c r="H9" i="3"/>
  <c r="G9" i="3"/>
  <c r="L8" i="3"/>
  <c r="K8" i="3"/>
  <c r="J8" i="3"/>
  <c r="I8" i="3"/>
  <c r="H8" i="3"/>
  <c r="G8" i="3"/>
  <c r="L7" i="3"/>
  <c r="K7" i="3"/>
  <c r="J7" i="3"/>
  <c r="I7" i="3"/>
  <c r="H7" i="3"/>
  <c r="G7" i="3"/>
  <c r="L6" i="3"/>
  <c r="K6" i="3"/>
  <c r="J6" i="3"/>
  <c r="I6" i="3"/>
  <c r="H6" i="3"/>
  <c r="G6" i="3"/>
  <c r="L5" i="3"/>
  <c r="K5" i="3"/>
  <c r="J5" i="3"/>
  <c r="I5" i="3"/>
  <c r="H5" i="3"/>
  <c r="G5" i="3"/>
  <c r="L4" i="3"/>
  <c r="K4" i="3"/>
  <c r="J4" i="3"/>
  <c r="I4" i="3"/>
  <c r="H4" i="3"/>
  <c r="G4" i="3"/>
  <c r="L3" i="3"/>
  <c r="K3" i="3"/>
  <c r="J3" i="3"/>
  <c r="I3" i="3"/>
  <c r="H3" i="3"/>
  <c r="G3" i="3"/>
  <c r="L2" i="3"/>
  <c r="K2" i="3"/>
  <c r="J2" i="3"/>
  <c r="I2" i="3"/>
  <c r="H2" i="3"/>
  <c r="G2" i="3"/>
  <c r="L4" i="6" l="1"/>
  <c r="L3" i="6"/>
  <c r="L6" i="6"/>
  <c r="L8" i="6"/>
  <c r="L10" i="6"/>
  <c r="L12" i="6"/>
  <c r="L14" i="6"/>
  <c r="L16" i="6"/>
  <c r="L18" i="6"/>
  <c r="L20" i="6"/>
  <c r="L22" i="6"/>
  <c r="L24" i="6"/>
  <c r="L26" i="6"/>
  <c r="L28" i="6"/>
  <c r="L30" i="6"/>
  <c r="D281" i="4"/>
  <c r="C166" i="4"/>
  <c r="B300" i="4"/>
  <c r="E193" i="4"/>
  <c r="A195" i="4"/>
  <c r="L7" i="6"/>
  <c r="L9" i="6"/>
  <c r="L11" i="6"/>
  <c r="L13" i="6"/>
  <c r="L15" i="6"/>
  <c r="L17" i="6"/>
  <c r="L19" i="6"/>
  <c r="L21" i="6"/>
  <c r="L23" i="6"/>
  <c r="L25" i="6"/>
  <c r="L27" i="6"/>
  <c r="L29" i="6"/>
  <c r="L31" i="6"/>
  <c r="L2" i="6"/>
  <c r="L5" i="6"/>
  <c r="A297" i="8"/>
  <c r="A289" i="8"/>
  <c r="A281" i="8"/>
  <c r="A273" i="8"/>
  <c r="A265" i="8"/>
  <c r="A257" i="8"/>
  <c r="A249" i="8"/>
  <c r="A241" i="8"/>
  <c r="A233" i="8"/>
  <c r="A225" i="8"/>
  <c r="A217" i="8"/>
  <c r="A209" i="8"/>
  <c r="A201" i="8"/>
  <c r="A193" i="8"/>
  <c r="A185" i="8"/>
  <c r="A177" i="8"/>
  <c r="A169" i="8"/>
  <c r="A161" i="8"/>
  <c r="A153" i="8"/>
  <c r="A145" i="8"/>
  <c r="A298" i="8"/>
  <c r="A290" i="8"/>
  <c r="A282" i="8"/>
  <c r="A274" i="8"/>
  <c r="A266" i="8"/>
  <c r="A258" i="8"/>
  <c r="A250" i="8"/>
  <c r="A242" i="8"/>
  <c r="A234" i="8"/>
  <c r="A226" i="8"/>
  <c r="A218" i="8"/>
  <c r="A210" i="8"/>
  <c r="A202" i="8"/>
  <c r="A194" i="8"/>
  <c r="A186" i="8"/>
  <c r="A178" i="8"/>
  <c r="A170" i="8"/>
  <c r="A162" i="8"/>
  <c r="A154" i="8"/>
  <c r="A146" i="8"/>
  <c r="A299" i="8"/>
  <c r="A291" i="8"/>
  <c r="A283" i="8"/>
  <c r="A275" i="8"/>
  <c r="A267" i="8"/>
  <c r="A259" i="8"/>
  <c r="A251" i="8"/>
  <c r="A243" i="8"/>
  <c r="A235" i="8"/>
  <c r="A227" i="8"/>
  <c r="A219" i="8"/>
  <c r="A211" i="8"/>
  <c r="A203" i="8"/>
  <c r="A195" i="8"/>
  <c r="A187" i="8"/>
  <c r="A179" i="8"/>
  <c r="A171" i="8"/>
  <c r="A163" i="8"/>
  <c r="A155" i="8"/>
  <c r="A147" i="8"/>
  <c r="A300" i="8"/>
  <c r="A292" i="8"/>
  <c r="A284" i="8"/>
  <c r="A276" i="8"/>
  <c r="A268" i="8"/>
  <c r="A260" i="8"/>
  <c r="A252" i="8"/>
  <c r="A244" i="8"/>
  <c r="A236" i="8"/>
  <c r="A228" i="8"/>
  <c r="A220" i="8"/>
  <c r="A212" i="8"/>
  <c r="A204" i="8"/>
  <c r="A196" i="8"/>
  <c r="A188" i="8"/>
  <c r="A180" i="8"/>
  <c r="A172" i="8"/>
  <c r="A164" i="8"/>
  <c r="A156" i="8"/>
  <c r="A301" i="8"/>
  <c r="A295" i="8"/>
  <c r="A287" i="8"/>
  <c r="A279" i="8"/>
  <c r="A271" i="8"/>
  <c r="A263" i="8"/>
  <c r="A255" i="8"/>
  <c r="A247" i="8"/>
  <c r="A239" i="8"/>
  <c r="A231" i="8"/>
  <c r="A223" i="8"/>
  <c r="A215" i="8"/>
  <c r="A207" i="8"/>
  <c r="A199" i="8"/>
  <c r="A191" i="8"/>
  <c r="A183" i="8"/>
  <c r="A175" i="8"/>
  <c r="A167" i="8"/>
  <c r="A159" i="8"/>
  <c r="A151" i="8"/>
  <c r="A143" i="8"/>
  <c r="A296" i="8"/>
  <c r="A288" i="8"/>
  <c r="A280" i="8"/>
  <c r="A272" i="8"/>
  <c r="A264" i="8"/>
  <c r="A256" i="8"/>
  <c r="A248" i="8"/>
  <c r="A240" i="8"/>
  <c r="A232" i="8"/>
  <c r="A224" i="8"/>
  <c r="A216" i="8"/>
  <c r="A208" i="8"/>
  <c r="A200" i="8"/>
  <c r="A192" i="8"/>
  <c r="A184" i="8"/>
  <c r="A176" i="8"/>
  <c r="A168" i="8"/>
  <c r="A160" i="8"/>
  <c r="A152" i="8"/>
  <c r="A144" i="8"/>
  <c r="A285" i="8"/>
  <c r="A253" i="8"/>
  <c r="A221" i="8"/>
  <c r="A189" i="8"/>
  <c r="A157" i="8"/>
  <c r="A141" i="8"/>
  <c r="A136" i="8"/>
  <c r="A128" i="8"/>
  <c r="A120" i="8"/>
  <c r="A112" i="8"/>
  <c r="A104" i="8"/>
  <c r="A96" i="8"/>
  <c r="A88" i="8"/>
  <c r="A80" i="8"/>
  <c r="A72" i="8"/>
  <c r="A64" i="8"/>
  <c r="A56" i="8"/>
  <c r="A48" i="8"/>
  <c r="A40" i="8"/>
  <c r="A32" i="8"/>
  <c r="A24" i="8"/>
  <c r="A16" i="8"/>
  <c r="A8" i="8"/>
  <c r="A294" i="8"/>
  <c r="A262" i="8"/>
  <c r="A230" i="8"/>
  <c r="A198" i="8"/>
  <c r="A166" i="8"/>
  <c r="A150" i="8"/>
  <c r="A137" i="8"/>
  <c r="A129" i="8"/>
  <c r="A121" i="8"/>
  <c r="A113" i="8"/>
  <c r="A105" i="8"/>
  <c r="A97" i="8"/>
  <c r="A89" i="8"/>
  <c r="A81" i="8"/>
  <c r="A73" i="8"/>
  <c r="A65" i="8"/>
  <c r="A57" i="8"/>
  <c r="A49" i="8"/>
  <c r="A41" i="8"/>
  <c r="A33" i="8"/>
  <c r="A25" i="8"/>
  <c r="A17" i="8"/>
  <c r="A9" i="8"/>
  <c r="A293" i="8"/>
  <c r="A261" i="8"/>
  <c r="A229" i="8"/>
  <c r="A197" i="8"/>
  <c r="A165" i="8"/>
  <c r="A138" i="8"/>
  <c r="A130" i="8"/>
  <c r="A122" i="8"/>
  <c r="A114" i="8"/>
  <c r="A106" i="8"/>
  <c r="A98" i="8"/>
  <c r="A90" i="8"/>
  <c r="A82" i="8"/>
  <c r="A74" i="8"/>
  <c r="A66" i="8"/>
  <c r="A58" i="8"/>
  <c r="A50" i="8"/>
  <c r="A42" i="8"/>
  <c r="A34" i="8"/>
  <c r="A26" i="8"/>
  <c r="A18" i="8"/>
  <c r="A10" i="8"/>
  <c r="A2" i="8"/>
  <c r="A270" i="8"/>
  <c r="A238" i="8"/>
  <c r="A206" i="8"/>
  <c r="A174" i="8"/>
  <c r="A149" i="8"/>
  <c r="A139" i="8"/>
  <c r="A131" i="8"/>
  <c r="A123" i="8"/>
  <c r="A115" i="8"/>
  <c r="A107" i="8"/>
  <c r="A99" i="8"/>
  <c r="A91" i="8"/>
  <c r="A83" i="8"/>
  <c r="A75" i="8"/>
  <c r="A67" i="8"/>
  <c r="A59" i="8"/>
  <c r="A51" i="8"/>
  <c r="A43" i="8"/>
  <c r="A35" i="8"/>
  <c r="A27" i="8"/>
  <c r="A19" i="8"/>
  <c r="A11" i="8"/>
  <c r="A3" i="8"/>
  <c r="A278" i="8"/>
  <c r="A246" i="8"/>
  <c r="A214" i="8"/>
  <c r="A182" i="8"/>
  <c r="A148" i="8"/>
  <c r="A133" i="8"/>
  <c r="A125" i="8"/>
  <c r="A117" i="8"/>
  <c r="A109" i="8"/>
  <c r="A101" i="8"/>
  <c r="A93" i="8"/>
  <c r="A85" i="8"/>
  <c r="A77" i="8"/>
  <c r="A69" i="8"/>
  <c r="A61" i="8"/>
  <c r="A53" i="8"/>
  <c r="A45" i="8"/>
  <c r="A37" i="8"/>
  <c r="A29" i="8"/>
  <c r="A21" i="8"/>
  <c r="A277" i="8"/>
  <c r="A245" i="8"/>
  <c r="A213" i="8"/>
  <c r="A181" i="8"/>
  <c r="A142" i="8"/>
  <c r="A134" i="8"/>
  <c r="A126" i="8"/>
  <c r="A118" i="8"/>
  <c r="A110" i="8"/>
  <c r="A102" i="8"/>
  <c r="A94" i="8"/>
  <c r="A86" i="8"/>
  <c r="A78" i="8"/>
  <c r="A70" i="8"/>
  <c r="A62" i="8"/>
  <c r="A54" i="8"/>
  <c r="A286" i="8"/>
  <c r="A254" i="8"/>
  <c r="A222" i="8"/>
  <c r="A190" i="8"/>
  <c r="A158" i="8"/>
  <c r="A135" i="8"/>
  <c r="A127" i="8"/>
  <c r="A119" i="8"/>
  <c r="A111" i="8"/>
  <c r="A103" i="8"/>
  <c r="A95" i="8"/>
  <c r="A87" i="8"/>
  <c r="A79" i="8"/>
  <c r="A71" i="8"/>
  <c r="A63" i="8"/>
  <c r="A55" i="8"/>
  <c r="A47" i="8"/>
  <c r="A39" i="8"/>
  <c r="A31" i="8"/>
  <c r="A23" i="8"/>
  <c r="A15" i="8"/>
  <c r="A7" i="8"/>
  <c r="A205" i="8"/>
  <c r="A140" i="8"/>
  <c r="A76" i="8"/>
  <c r="A36" i="8"/>
  <c r="A4" i="8"/>
  <c r="A237" i="8"/>
  <c r="A84" i="8"/>
  <c r="A22" i="8"/>
  <c r="A13" i="8"/>
  <c r="A269" i="8"/>
  <c r="A92" i="8"/>
  <c r="A44" i="8"/>
  <c r="F299" i="4"/>
  <c r="F295" i="4"/>
  <c r="F291" i="4"/>
  <c r="F287" i="4"/>
  <c r="F283" i="4"/>
  <c r="F279" i="4"/>
  <c r="F275" i="4"/>
  <c r="F271" i="4"/>
  <c r="F267" i="4"/>
  <c r="F263" i="4"/>
  <c r="F259" i="4"/>
  <c r="F255" i="4"/>
  <c r="F251" i="4"/>
  <c r="F247" i="4"/>
  <c r="F243" i="4"/>
  <c r="F239" i="4"/>
  <c r="F235" i="4"/>
  <c r="F231" i="4"/>
  <c r="F227" i="4"/>
  <c r="F223" i="4"/>
  <c r="F219" i="4"/>
  <c r="F215" i="4"/>
  <c r="F211" i="4"/>
  <c r="F207" i="4"/>
  <c r="F203" i="4"/>
  <c r="F199" i="4"/>
  <c r="F195" i="4"/>
  <c r="F191" i="4"/>
  <c r="F187" i="4"/>
  <c r="F183" i="4"/>
  <c r="F179" i="4"/>
  <c r="F175" i="4"/>
  <c r="F171" i="4"/>
  <c r="F167" i="4"/>
  <c r="A100" i="8"/>
  <c r="A30" i="8"/>
  <c r="A12" i="8"/>
  <c r="A108" i="8"/>
  <c r="A20" i="8"/>
  <c r="A6" i="8"/>
  <c r="F300" i="4"/>
  <c r="F296" i="4"/>
  <c r="F292" i="4"/>
  <c r="F288" i="4"/>
  <c r="F284" i="4"/>
  <c r="F280" i="4"/>
  <c r="F276" i="4"/>
  <c r="F272" i="4"/>
  <c r="F268" i="4"/>
  <c r="F264" i="4"/>
  <c r="F260" i="4"/>
  <c r="F256" i="4"/>
  <c r="F252" i="4"/>
  <c r="F248" i="4"/>
  <c r="F244" i="4"/>
  <c r="F240" i="4"/>
  <c r="F236" i="4"/>
  <c r="F232" i="4"/>
  <c r="F228" i="4"/>
  <c r="F224" i="4"/>
  <c r="F220" i="4"/>
  <c r="F216" i="4"/>
  <c r="F212" i="4"/>
  <c r="F208" i="4"/>
  <c r="F204" i="4"/>
  <c r="F200" i="4"/>
  <c r="F196" i="4"/>
  <c r="F192" i="4"/>
  <c r="F188" i="4"/>
  <c r="F184" i="4"/>
  <c r="F180" i="4"/>
  <c r="F176" i="4"/>
  <c r="F172" i="4"/>
  <c r="A116" i="8"/>
  <c r="A52" i="8"/>
  <c r="A38" i="8"/>
  <c r="A124" i="8"/>
  <c r="A60" i="8"/>
  <c r="A28" i="8"/>
  <c r="A5" i="8"/>
  <c r="F301" i="4"/>
  <c r="F297" i="4"/>
  <c r="F293" i="4"/>
  <c r="F289" i="4"/>
  <c r="F285" i="4"/>
  <c r="F281" i="4"/>
  <c r="F277" i="4"/>
  <c r="F273" i="4"/>
  <c r="F269" i="4"/>
  <c r="F265" i="4"/>
  <c r="F261" i="4"/>
  <c r="A173" i="8"/>
  <c r="A132" i="8"/>
  <c r="A68" i="8"/>
  <c r="A46" i="8"/>
  <c r="A14" i="8"/>
  <c r="F2" i="4"/>
  <c r="B4" i="4"/>
  <c r="D5" i="4"/>
  <c r="F6" i="4"/>
  <c r="B8" i="4"/>
  <c r="D9" i="4"/>
  <c r="F10" i="4"/>
  <c r="B12" i="4"/>
  <c r="D13" i="4"/>
  <c r="F14" i="4"/>
  <c r="B16" i="4"/>
  <c r="D17" i="4"/>
  <c r="F18" i="4"/>
  <c r="B20" i="4"/>
  <c r="D21" i="4"/>
  <c r="F22" i="4"/>
  <c r="B24" i="4"/>
  <c r="D25" i="4"/>
  <c r="F26" i="4"/>
  <c r="B28" i="4"/>
  <c r="D29" i="4"/>
  <c r="F30" i="4"/>
  <c r="B32" i="4"/>
  <c r="D33" i="4"/>
  <c r="F34" i="4"/>
  <c r="B36" i="4"/>
  <c r="D37" i="4"/>
  <c r="F38" i="4"/>
  <c r="B40" i="4"/>
  <c r="D41" i="4"/>
  <c r="F42" i="4"/>
  <c r="B44" i="4"/>
  <c r="D45" i="4"/>
  <c r="F46" i="4"/>
  <c r="B48" i="4"/>
  <c r="D49" i="4"/>
  <c r="F50" i="4"/>
  <c r="B52" i="4"/>
  <c r="D53" i="4"/>
  <c r="F54" i="4"/>
  <c r="B56" i="4"/>
  <c r="D57" i="4"/>
  <c r="F58" i="4"/>
  <c r="B60" i="4"/>
  <c r="D61" i="4"/>
  <c r="F62" i="4"/>
  <c r="B64" i="4"/>
  <c r="D65" i="4"/>
  <c r="F66" i="4"/>
  <c r="B68" i="4"/>
  <c r="D69" i="4"/>
  <c r="F70" i="4"/>
  <c r="B72" i="4"/>
  <c r="D73" i="4"/>
  <c r="F74" i="4"/>
  <c r="B76" i="4"/>
  <c r="D77" i="4"/>
  <c r="F78" i="4"/>
  <c r="B80" i="4"/>
  <c r="D81" i="4"/>
  <c r="F82" i="4"/>
  <c r="B84" i="4"/>
  <c r="D85" i="4"/>
  <c r="F86" i="4"/>
  <c r="B88" i="4"/>
  <c r="D89" i="4"/>
  <c r="F90" i="4"/>
  <c r="B92" i="4"/>
  <c r="D93" i="4"/>
  <c r="F94" i="4"/>
  <c r="B96" i="4"/>
  <c r="D97" i="4"/>
  <c r="F98" i="4"/>
  <c r="B100" i="4"/>
  <c r="D101" i="4"/>
  <c r="F102" i="4"/>
  <c r="B104" i="4"/>
  <c r="D105" i="4"/>
  <c r="F106" i="4"/>
  <c r="B108" i="4"/>
  <c r="D109" i="4"/>
  <c r="F110" i="4"/>
  <c r="B112" i="4"/>
  <c r="D113" i="4"/>
  <c r="F114" i="4"/>
  <c r="B116" i="4"/>
  <c r="D117" i="4"/>
  <c r="F118" i="4"/>
  <c r="B120" i="4"/>
  <c r="D121" i="4"/>
  <c r="F122" i="4"/>
  <c r="B124" i="4"/>
  <c r="D125" i="4"/>
  <c r="F126" i="4"/>
  <c r="B128" i="4"/>
  <c r="D129" i="4"/>
  <c r="F130" i="4"/>
  <c r="B132" i="4"/>
  <c r="D133" i="4"/>
  <c r="F134" i="4"/>
  <c r="B136" i="4"/>
  <c r="D137" i="4"/>
  <c r="F138" i="4"/>
  <c r="B140" i="4"/>
  <c r="D141" i="4"/>
  <c r="F142" i="4"/>
  <c r="B144" i="4"/>
  <c r="D145" i="4"/>
  <c r="F146" i="4"/>
  <c r="B148" i="4"/>
  <c r="D149" i="4"/>
  <c r="F150" i="4"/>
  <c r="B152" i="4"/>
  <c r="D153" i="4"/>
  <c r="F154" i="4"/>
  <c r="B156" i="4"/>
  <c r="D157" i="4"/>
  <c r="F158" i="4"/>
  <c r="B160" i="4"/>
  <c r="D161" i="4"/>
  <c r="F162" i="4"/>
  <c r="B164" i="4"/>
  <c r="D165" i="4"/>
  <c r="B167" i="4"/>
  <c r="D169" i="4"/>
  <c r="D171" i="4"/>
  <c r="F173" i="4"/>
  <c r="D176" i="4"/>
  <c r="C180" i="4"/>
  <c r="B184" i="4"/>
  <c r="B187" i="4"/>
  <c r="A191" i="4"/>
  <c r="F194" i="4"/>
  <c r="F198" i="4"/>
  <c r="B204" i="4"/>
  <c r="D209" i="4"/>
  <c r="F214" i="4"/>
  <c r="B220" i="4"/>
  <c r="D225" i="4"/>
  <c r="F230" i="4"/>
  <c r="B236" i="4"/>
  <c r="D241" i="4"/>
  <c r="F246" i="4"/>
  <c r="B252" i="4"/>
  <c r="D257" i="4"/>
  <c r="B264" i="4"/>
  <c r="F274" i="4"/>
  <c r="D285" i="4"/>
  <c r="B296" i="4"/>
  <c r="A3" i="4"/>
  <c r="C4" i="4"/>
  <c r="E5" i="4"/>
  <c r="A7" i="4"/>
  <c r="C8" i="4"/>
  <c r="E9" i="4"/>
  <c r="A11" i="4"/>
  <c r="C12" i="4"/>
  <c r="E13" i="4"/>
  <c r="A15" i="4"/>
  <c r="C16" i="4"/>
  <c r="E17" i="4"/>
  <c r="A19" i="4"/>
  <c r="C20" i="4"/>
  <c r="E21" i="4"/>
  <c r="A23" i="4"/>
  <c r="C24" i="4"/>
  <c r="E25" i="4"/>
  <c r="A27" i="4"/>
  <c r="C28" i="4"/>
  <c r="E29" i="4"/>
  <c r="A31" i="4"/>
  <c r="C32" i="4"/>
  <c r="E33" i="4"/>
  <c r="A35" i="4"/>
  <c r="C36" i="4"/>
  <c r="E37" i="4"/>
  <c r="A39" i="4"/>
  <c r="C40" i="4"/>
  <c r="E41" i="4"/>
  <c r="A43" i="4"/>
  <c r="C44" i="4"/>
  <c r="E45" i="4"/>
  <c r="A47" i="4"/>
  <c r="C48" i="4"/>
  <c r="E49" i="4"/>
  <c r="A51" i="4"/>
  <c r="C52" i="4"/>
  <c r="E53" i="4"/>
  <c r="A55" i="4"/>
  <c r="C56" i="4"/>
  <c r="E57" i="4"/>
  <c r="A59" i="4"/>
  <c r="C60" i="4"/>
  <c r="E61" i="4"/>
  <c r="A63" i="4"/>
  <c r="C64" i="4"/>
  <c r="E65" i="4"/>
  <c r="A67" i="4"/>
  <c r="C68" i="4"/>
  <c r="E69" i="4"/>
  <c r="A71" i="4"/>
  <c r="C72" i="4"/>
  <c r="E73" i="4"/>
  <c r="A75" i="4"/>
  <c r="C76" i="4"/>
  <c r="E77" i="4"/>
  <c r="A79" i="4"/>
  <c r="C80" i="4"/>
  <c r="E81" i="4"/>
  <c r="A83" i="4"/>
  <c r="C84" i="4"/>
  <c r="E85" i="4"/>
  <c r="A87" i="4"/>
  <c r="C88" i="4"/>
  <c r="E89" i="4"/>
  <c r="A91" i="4"/>
  <c r="C92" i="4"/>
  <c r="E93" i="4"/>
  <c r="A95" i="4"/>
  <c r="C96" i="4"/>
  <c r="E97" i="4"/>
  <c r="A99" i="4"/>
  <c r="C100" i="4"/>
  <c r="E101" i="4"/>
  <c r="A103" i="4"/>
  <c r="C104" i="4"/>
  <c r="E105" i="4"/>
  <c r="A107" i="4"/>
  <c r="C108" i="4"/>
  <c r="E109" i="4"/>
  <c r="A111" i="4"/>
  <c r="C112" i="4"/>
  <c r="E113" i="4"/>
  <c r="A115" i="4"/>
  <c r="C116" i="4"/>
  <c r="E117" i="4"/>
  <c r="A119" i="4"/>
  <c r="C120" i="4"/>
  <c r="E121" i="4"/>
  <c r="A123" i="4"/>
  <c r="C124" i="4"/>
  <c r="E125" i="4"/>
  <c r="A127" i="4"/>
  <c r="C128" i="4"/>
  <c r="E129" i="4"/>
  <c r="A131" i="4"/>
  <c r="C132" i="4"/>
  <c r="E133" i="4"/>
  <c r="A135" i="4"/>
  <c r="C136" i="4"/>
  <c r="E137" i="4"/>
  <c r="A139" i="4"/>
  <c r="C140" i="4"/>
  <c r="E141" i="4"/>
  <c r="A143" i="4"/>
  <c r="C144" i="4"/>
  <c r="E145" i="4"/>
  <c r="A147" i="4"/>
  <c r="C148" i="4"/>
  <c r="E149" i="4"/>
  <c r="A151" i="4"/>
  <c r="C152" i="4"/>
  <c r="E153" i="4"/>
  <c r="A155" i="4"/>
  <c r="C156" i="4"/>
  <c r="E157" i="4"/>
  <c r="A159" i="4"/>
  <c r="C160" i="4"/>
  <c r="E161" i="4"/>
  <c r="A163" i="4"/>
  <c r="C164" i="4"/>
  <c r="E165" i="4"/>
  <c r="D167" i="4"/>
  <c r="E169" i="4"/>
  <c r="E171" i="4"/>
  <c r="C174" i="4"/>
  <c r="D177" i="4"/>
  <c r="D180" i="4"/>
  <c r="C184" i="4"/>
  <c r="B188" i="4"/>
  <c r="B191" i="4"/>
  <c r="B199" i="4"/>
  <c r="D204" i="4"/>
  <c r="F209" i="4"/>
  <c r="B215" i="4"/>
  <c r="D220" i="4"/>
  <c r="F225" i="4"/>
  <c r="B231" i="4"/>
  <c r="D236" i="4"/>
  <c r="F241" i="4"/>
  <c r="B247" i="4"/>
  <c r="D252" i="4"/>
  <c r="F257" i="4"/>
  <c r="D265" i="4"/>
  <c r="B276" i="4"/>
  <c r="F286" i="4"/>
  <c r="D297" i="4"/>
  <c r="B3" i="4"/>
  <c r="D4" i="4"/>
  <c r="F5" i="4"/>
  <c r="B7" i="4"/>
  <c r="D8" i="4"/>
  <c r="F9" i="4"/>
  <c r="B11" i="4"/>
  <c r="D12" i="4"/>
  <c r="F13" i="4"/>
  <c r="B15" i="4"/>
  <c r="D16" i="4"/>
  <c r="F17" i="4"/>
  <c r="B19" i="4"/>
  <c r="D20" i="4"/>
  <c r="F21" i="4"/>
  <c r="B23" i="4"/>
  <c r="D24" i="4"/>
  <c r="F25" i="4"/>
  <c r="B27" i="4"/>
  <c r="D28" i="4"/>
  <c r="F29" i="4"/>
  <c r="B31" i="4"/>
  <c r="D32" i="4"/>
  <c r="F33" i="4"/>
  <c r="B35" i="4"/>
  <c r="D36" i="4"/>
  <c r="F37" i="4"/>
  <c r="B39" i="4"/>
  <c r="D40" i="4"/>
  <c r="F41" i="4"/>
  <c r="B43" i="4"/>
  <c r="D44" i="4"/>
  <c r="F45" i="4"/>
  <c r="B47" i="4"/>
  <c r="D48" i="4"/>
  <c r="F49" i="4"/>
  <c r="B51" i="4"/>
  <c r="D52" i="4"/>
  <c r="F53" i="4"/>
  <c r="B55" i="4"/>
  <c r="D56" i="4"/>
  <c r="F57" i="4"/>
  <c r="B59" i="4"/>
  <c r="D60" i="4"/>
  <c r="F61" i="4"/>
  <c r="B63" i="4"/>
  <c r="D64" i="4"/>
  <c r="F65" i="4"/>
  <c r="B67" i="4"/>
  <c r="D68" i="4"/>
  <c r="F69" i="4"/>
  <c r="B71" i="4"/>
  <c r="D72" i="4"/>
  <c r="F73" i="4"/>
  <c r="B75" i="4"/>
  <c r="D76" i="4"/>
  <c r="F77" i="4"/>
  <c r="B79" i="4"/>
  <c r="D80" i="4"/>
  <c r="F81" i="4"/>
  <c r="B83" i="4"/>
  <c r="D84" i="4"/>
  <c r="F85" i="4"/>
  <c r="B87" i="4"/>
  <c r="D88" i="4"/>
  <c r="F89" i="4"/>
  <c r="B91" i="4"/>
  <c r="D92" i="4"/>
  <c r="F93" i="4"/>
  <c r="B95" i="4"/>
  <c r="D96" i="4"/>
  <c r="F97" i="4"/>
  <c r="B99" i="4"/>
  <c r="D100" i="4"/>
  <c r="F101" i="4"/>
  <c r="B103" i="4"/>
  <c r="D104" i="4"/>
  <c r="F105" i="4"/>
  <c r="B107" i="4"/>
  <c r="D108" i="4"/>
  <c r="F109" i="4"/>
  <c r="B111" i="4"/>
  <c r="D112" i="4"/>
  <c r="F113" i="4"/>
  <c r="B115" i="4"/>
  <c r="D116" i="4"/>
  <c r="F117" i="4"/>
  <c r="B119" i="4"/>
  <c r="D120" i="4"/>
  <c r="F121" i="4"/>
  <c r="B123" i="4"/>
  <c r="D124" i="4"/>
  <c r="F125" i="4"/>
  <c r="B127" i="4"/>
  <c r="D128" i="4"/>
  <c r="F129" i="4"/>
  <c r="B131" i="4"/>
  <c r="D132" i="4"/>
  <c r="F133" i="4"/>
  <c r="B135" i="4"/>
  <c r="D136" i="4"/>
  <c r="F137" i="4"/>
  <c r="B139" i="4"/>
  <c r="D140" i="4"/>
  <c r="F141" i="4"/>
  <c r="B143" i="4"/>
  <c r="D144" i="4"/>
  <c r="F145" i="4"/>
  <c r="B147" i="4"/>
  <c r="D148" i="4"/>
  <c r="F149" i="4"/>
  <c r="B151" i="4"/>
  <c r="D152" i="4"/>
  <c r="F153" i="4"/>
  <c r="B155" i="4"/>
  <c r="D156" i="4"/>
  <c r="F157" i="4"/>
  <c r="B159" i="4"/>
  <c r="D160" i="4"/>
  <c r="F161" i="4"/>
  <c r="B163" i="4"/>
  <c r="D164" i="4"/>
  <c r="F165" i="4"/>
  <c r="E167" i="4"/>
  <c r="F169" i="4"/>
  <c r="B172" i="4"/>
  <c r="F174" i="4"/>
  <c r="E177" i="4"/>
  <c r="D181" i="4"/>
  <c r="D184" i="4"/>
  <c r="C188" i="4"/>
  <c r="B192" i="4"/>
  <c r="B195" i="4"/>
  <c r="B200" i="4"/>
  <c r="D205" i="4"/>
  <c r="F210" i="4"/>
  <c r="B216" i="4"/>
  <c r="D221" i="4"/>
  <c r="F226" i="4"/>
  <c r="B232" i="4"/>
  <c r="D237" i="4"/>
  <c r="F242" i="4"/>
  <c r="B248" i="4"/>
  <c r="D253" i="4"/>
  <c r="F258" i="4"/>
  <c r="F266" i="4"/>
  <c r="D277" i="4"/>
  <c r="B288" i="4"/>
  <c r="F298" i="4"/>
  <c r="A300" i="4"/>
  <c r="A296" i="4"/>
  <c r="A292" i="4"/>
  <c r="A288" i="4"/>
  <c r="A284" i="4"/>
  <c r="A280" i="4"/>
  <c r="A276" i="4"/>
  <c r="A272" i="4"/>
  <c r="A268" i="4"/>
  <c r="A264" i="4"/>
  <c r="A260" i="4"/>
  <c r="A256" i="4"/>
  <c r="A252" i="4"/>
  <c r="A248" i="4"/>
  <c r="A244" i="4"/>
  <c r="A240" i="4"/>
  <c r="A236" i="4"/>
  <c r="A232" i="4"/>
  <c r="A228" i="4"/>
  <c r="A224" i="4"/>
  <c r="A220" i="4"/>
  <c r="A216" i="4"/>
  <c r="A212" i="4"/>
  <c r="A208" i="4"/>
  <c r="A204" i="4"/>
  <c r="A200" i="4"/>
  <c r="A196" i="4"/>
  <c r="A192" i="4"/>
  <c r="A188" i="4"/>
  <c r="A184" i="4"/>
  <c r="A180" i="4"/>
  <c r="A176" i="4"/>
  <c r="A172" i="4"/>
  <c r="A168" i="4"/>
  <c r="A301" i="4"/>
  <c r="A297" i="4"/>
  <c r="A293" i="4"/>
  <c r="A289" i="4"/>
  <c r="A285" i="4"/>
  <c r="A281" i="4"/>
  <c r="A277" i="4"/>
  <c r="A273" i="4"/>
  <c r="A269" i="4"/>
  <c r="A265" i="4"/>
  <c r="A261" i="4"/>
  <c r="A257" i="4"/>
  <c r="A253" i="4"/>
  <c r="A249" i="4"/>
  <c r="A245" i="4"/>
  <c r="A241" i="4"/>
  <c r="A237" i="4"/>
  <c r="A233" i="4"/>
  <c r="A229" i="4"/>
  <c r="A225" i="4"/>
  <c r="A221" i="4"/>
  <c r="A217" i="4"/>
  <c r="A213" i="4"/>
  <c r="A209" i="4"/>
  <c r="A205" i="4"/>
  <c r="A201" i="4"/>
  <c r="A197" i="4"/>
  <c r="A193" i="4"/>
  <c r="A189" i="4"/>
  <c r="A185" i="4"/>
  <c r="A181" i="4"/>
  <c r="A177" i="4"/>
  <c r="A298" i="4"/>
  <c r="A294" i="4"/>
  <c r="A290" i="4"/>
  <c r="A286" i="4"/>
  <c r="A282" i="4"/>
  <c r="A278" i="4"/>
  <c r="A274" i="4"/>
  <c r="A270" i="4"/>
  <c r="A266" i="4"/>
  <c r="A262" i="4"/>
  <c r="A258" i="4"/>
  <c r="A254" i="4"/>
  <c r="A250" i="4"/>
  <c r="A246" i="4"/>
  <c r="A242" i="4"/>
  <c r="A238" i="4"/>
  <c r="A234" i="4"/>
  <c r="A230" i="4"/>
  <c r="A226" i="4"/>
  <c r="A222" i="4"/>
  <c r="A218" i="4"/>
  <c r="A214" i="4"/>
  <c r="A210" i="4"/>
  <c r="A206" i="4"/>
  <c r="A202" i="4"/>
  <c r="A198" i="4"/>
  <c r="A194" i="4"/>
  <c r="A190" i="4"/>
  <c r="A186" i="4"/>
  <c r="A182" i="4"/>
  <c r="A178" i="4"/>
  <c r="A174" i="4"/>
  <c r="A170" i="4"/>
  <c r="A299" i="4"/>
  <c r="A295" i="4"/>
  <c r="A291" i="4"/>
  <c r="A287" i="4"/>
  <c r="A283" i="4"/>
  <c r="A279" i="4"/>
  <c r="A275" i="4"/>
  <c r="A271" i="4"/>
  <c r="A267" i="4"/>
  <c r="A263" i="4"/>
  <c r="A259" i="4"/>
  <c r="A255" i="4"/>
  <c r="A251" i="4"/>
  <c r="A247" i="4"/>
  <c r="A243" i="4"/>
  <c r="A239" i="4"/>
  <c r="A235" i="4"/>
  <c r="A231" i="4"/>
  <c r="A227" i="4"/>
  <c r="A223" i="4"/>
  <c r="A219" i="4"/>
  <c r="A215" i="4"/>
  <c r="A211" i="4"/>
  <c r="A207" i="4"/>
  <c r="A203" i="4"/>
  <c r="A199" i="4"/>
  <c r="A2" i="4"/>
  <c r="C3" i="4"/>
  <c r="E4" i="4"/>
  <c r="A6" i="4"/>
  <c r="C7" i="4"/>
  <c r="E8" i="4"/>
  <c r="A10" i="4"/>
  <c r="C11" i="4"/>
  <c r="E12" i="4"/>
  <c r="A14" i="4"/>
  <c r="C15" i="4"/>
  <c r="E16" i="4"/>
  <c r="A18" i="4"/>
  <c r="C19" i="4"/>
  <c r="E20" i="4"/>
  <c r="A22" i="4"/>
  <c r="C23" i="4"/>
  <c r="E24" i="4"/>
  <c r="A26" i="4"/>
  <c r="C27" i="4"/>
  <c r="E28" i="4"/>
  <c r="A30" i="4"/>
  <c r="C31" i="4"/>
  <c r="E32" i="4"/>
  <c r="A34" i="4"/>
  <c r="C35" i="4"/>
  <c r="E36" i="4"/>
  <c r="A38" i="4"/>
  <c r="C39" i="4"/>
  <c r="E40" i="4"/>
  <c r="A42" i="4"/>
  <c r="C43" i="4"/>
  <c r="E44" i="4"/>
  <c r="A46" i="4"/>
  <c r="C47" i="4"/>
  <c r="E48" i="4"/>
  <c r="A50" i="4"/>
  <c r="C51" i="4"/>
  <c r="E52" i="4"/>
  <c r="A54" i="4"/>
  <c r="C55" i="4"/>
  <c r="E56" i="4"/>
  <c r="A58" i="4"/>
  <c r="C59" i="4"/>
  <c r="E60" i="4"/>
  <c r="A62" i="4"/>
  <c r="C63" i="4"/>
  <c r="E64" i="4"/>
  <c r="A66" i="4"/>
  <c r="C67" i="4"/>
  <c r="E68" i="4"/>
  <c r="A70" i="4"/>
  <c r="C71" i="4"/>
  <c r="E72" i="4"/>
  <c r="A74" i="4"/>
  <c r="C75" i="4"/>
  <c r="E76" i="4"/>
  <c r="A78" i="4"/>
  <c r="C79" i="4"/>
  <c r="E80" i="4"/>
  <c r="A82" i="4"/>
  <c r="C83" i="4"/>
  <c r="E84" i="4"/>
  <c r="A86" i="4"/>
  <c r="C87" i="4"/>
  <c r="E88" i="4"/>
  <c r="A90" i="4"/>
  <c r="C91" i="4"/>
  <c r="E92" i="4"/>
  <c r="A94" i="4"/>
  <c r="C95" i="4"/>
  <c r="E96" i="4"/>
  <c r="A98" i="4"/>
  <c r="C99" i="4"/>
  <c r="E100" i="4"/>
  <c r="A102" i="4"/>
  <c r="C103" i="4"/>
  <c r="E104" i="4"/>
  <c r="A106" i="4"/>
  <c r="C107" i="4"/>
  <c r="E108" i="4"/>
  <c r="A110" i="4"/>
  <c r="C111" i="4"/>
  <c r="E112" i="4"/>
  <c r="A114" i="4"/>
  <c r="C115" i="4"/>
  <c r="E116" i="4"/>
  <c r="A118" i="4"/>
  <c r="C119" i="4"/>
  <c r="E120" i="4"/>
  <c r="A122" i="4"/>
  <c r="C123" i="4"/>
  <c r="E124" i="4"/>
  <c r="A126" i="4"/>
  <c r="C127" i="4"/>
  <c r="E128" i="4"/>
  <c r="A130" i="4"/>
  <c r="C131" i="4"/>
  <c r="E132" i="4"/>
  <c r="A134" i="4"/>
  <c r="C135" i="4"/>
  <c r="E136" i="4"/>
  <c r="A138" i="4"/>
  <c r="C139" i="4"/>
  <c r="E140" i="4"/>
  <c r="A142" i="4"/>
  <c r="C143" i="4"/>
  <c r="E144" i="4"/>
  <c r="A146" i="4"/>
  <c r="C147" i="4"/>
  <c r="E148" i="4"/>
  <c r="A150" i="4"/>
  <c r="C151" i="4"/>
  <c r="E152" i="4"/>
  <c r="A154" i="4"/>
  <c r="C155" i="4"/>
  <c r="E156" i="4"/>
  <c r="A158" i="4"/>
  <c r="C159" i="4"/>
  <c r="E160" i="4"/>
  <c r="A162" i="4"/>
  <c r="C163" i="4"/>
  <c r="E164" i="4"/>
  <c r="A166" i="4"/>
  <c r="B168" i="4"/>
  <c r="B170" i="4"/>
  <c r="C172" i="4"/>
  <c r="A175" i="4"/>
  <c r="F177" i="4"/>
  <c r="E181" i="4"/>
  <c r="D185" i="4"/>
  <c r="D188" i="4"/>
  <c r="C192" i="4"/>
  <c r="B196" i="4"/>
  <c r="D200" i="4"/>
  <c r="F205" i="4"/>
  <c r="B211" i="4"/>
  <c r="D216" i="4"/>
  <c r="F221" i="4"/>
  <c r="B227" i="4"/>
  <c r="D232" i="4"/>
  <c r="F237" i="4"/>
  <c r="B243" i="4"/>
  <c r="D248" i="4"/>
  <c r="F253" i="4"/>
  <c r="B259" i="4"/>
  <c r="B268" i="4"/>
  <c r="F278" i="4"/>
  <c r="D289" i="4"/>
  <c r="B301" i="4"/>
  <c r="B297" i="4"/>
  <c r="B293" i="4"/>
  <c r="B289" i="4"/>
  <c r="B285" i="4"/>
  <c r="B281" i="4"/>
  <c r="B277" i="4"/>
  <c r="B273" i="4"/>
  <c r="B269" i="4"/>
  <c r="B265" i="4"/>
  <c r="B261" i="4"/>
  <c r="B257" i="4"/>
  <c r="B253" i="4"/>
  <c r="B249" i="4"/>
  <c r="B245" i="4"/>
  <c r="B241" i="4"/>
  <c r="B237" i="4"/>
  <c r="B233" i="4"/>
  <c r="B229" i="4"/>
  <c r="B225" i="4"/>
  <c r="B221" i="4"/>
  <c r="B217" i="4"/>
  <c r="B213" i="4"/>
  <c r="B209" i="4"/>
  <c r="B205" i="4"/>
  <c r="B201" i="4"/>
  <c r="B197" i="4"/>
  <c r="B193" i="4"/>
  <c r="B189" i="4"/>
  <c r="B185" i="4"/>
  <c r="B181" i="4"/>
  <c r="B177" i="4"/>
  <c r="B173" i="4"/>
  <c r="B169" i="4"/>
  <c r="B298" i="4"/>
  <c r="B294" i="4"/>
  <c r="B290" i="4"/>
  <c r="B286" i="4"/>
  <c r="B282" i="4"/>
  <c r="B278" i="4"/>
  <c r="B274" i="4"/>
  <c r="B270" i="4"/>
  <c r="B266" i="4"/>
  <c r="B262" i="4"/>
  <c r="B258" i="4"/>
  <c r="B254" i="4"/>
  <c r="B250" i="4"/>
  <c r="B246" i="4"/>
  <c r="B242" i="4"/>
  <c r="B238" i="4"/>
  <c r="B234" i="4"/>
  <c r="B230" i="4"/>
  <c r="B226" i="4"/>
  <c r="B222" i="4"/>
  <c r="B218" i="4"/>
  <c r="B214" i="4"/>
  <c r="B210" i="4"/>
  <c r="B206" i="4"/>
  <c r="B202" i="4"/>
  <c r="B198" i="4"/>
  <c r="B194" i="4"/>
  <c r="B190" i="4"/>
  <c r="B186" i="4"/>
  <c r="B182" i="4"/>
  <c r="B178" i="4"/>
  <c r="B174" i="4"/>
  <c r="B299" i="4"/>
  <c r="B295" i="4"/>
  <c r="B291" i="4"/>
  <c r="B287" i="4"/>
  <c r="B283" i="4"/>
  <c r="B279" i="4"/>
  <c r="B275" i="4"/>
  <c r="B271" i="4"/>
  <c r="B267" i="4"/>
  <c r="B263" i="4"/>
  <c r="B2" i="4"/>
  <c r="D3" i="4"/>
  <c r="F4" i="4"/>
  <c r="B6" i="4"/>
  <c r="D7" i="4"/>
  <c r="F8" i="4"/>
  <c r="B10" i="4"/>
  <c r="D11" i="4"/>
  <c r="F12" i="4"/>
  <c r="B14" i="4"/>
  <c r="D15" i="4"/>
  <c r="F16" i="4"/>
  <c r="B18" i="4"/>
  <c r="D19" i="4"/>
  <c r="F20" i="4"/>
  <c r="B22" i="4"/>
  <c r="D23" i="4"/>
  <c r="F24" i="4"/>
  <c r="B26" i="4"/>
  <c r="D27" i="4"/>
  <c r="F28" i="4"/>
  <c r="B30" i="4"/>
  <c r="D31" i="4"/>
  <c r="F32" i="4"/>
  <c r="B34" i="4"/>
  <c r="D35" i="4"/>
  <c r="F36" i="4"/>
  <c r="B38" i="4"/>
  <c r="D39" i="4"/>
  <c r="F40" i="4"/>
  <c r="B42" i="4"/>
  <c r="D43" i="4"/>
  <c r="F44" i="4"/>
  <c r="B46" i="4"/>
  <c r="D47" i="4"/>
  <c r="F48" i="4"/>
  <c r="B50" i="4"/>
  <c r="D51" i="4"/>
  <c r="F52" i="4"/>
  <c r="B54" i="4"/>
  <c r="D55" i="4"/>
  <c r="F56" i="4"/>
  <c r="B58" i="4"/>
  <c r="D59" i="4"/>
  <c r="F60" i="4"/>
  <c r="B62" i="4"/>
  <c r="D63" i="4"/>
  <c r="F64" i="4"/>
  <c r="B66" i="4"/>
  <c r="D67" i="4"/>
  <c r="F68" i="4"/>
  <c r="B70" i="4"/>
  <c r="D71" i="4"/>
  <c r="F72" i="4"/>
  <c r="B74" i="4"/>
  <c r="D75" i="4"/>
  <c r="F76" i="4"/>
  <c r="B78" i="4"/>
  <c r="D79" i="4"/>
  <c r="F80" i="4"/>
  <c r="B82" i="4"/>
  <c r="D83" i="4"/>
  <c r="F84" i="4"/>
  <c r="B86" i="4"/>
  <c r="D87" i="4"/>
  <c r="F88" i="4"/>
  <c r="B90" i="4"/>
  <c r="D91" i="4"/>
  <c r="F92" i="4"/>
  <c r="B94" i="4"/>
  <c r="D95" i="4"/>
  <c r="F96" i="4"/>
  <c r="B98" i="4"/>
  <c r="D99" i="4"/>
  <c r="F100" i="4"/>
  <c r="B102" i="4"/>
  <c r="D103" i="4"/>
  <c r="F104" i="4"/>
  <c r="B106" i="4"/>
  <c r="D107" i="4"/>
  <c r="F108" i="4"/>
  <c r="B110" i="4"/>
  <c r="D111" i="4"/>
  <c r="F112" i="4"/>
  <c r="B114" i="4"/>
  <c r="D115" i="4"/>
  <c r="F116" i="4"/>
  <c r="B118" i="4"/>
  <c r="D119" i="4"/>
  <c r="F120" i="4"/>
  <c r="B122" i="4"/>
  <c r="D123" i="4"/>
  <c r="F124" i="4"/>
  <c r="B126" i="4"/>
  <c r="D127" i="4"/>
  <c r="F128" i="4"/>
  <c r="B130" i="4"/>
  <c r="D131" i="4"/>
  <c r="F132" i="4"/>
  <c r="B134" i="4"/>
  <c r="D135" i="4"/>
  <c r="F136" i="4"/>
  <c r="B138" i="4"/>
  <c r="D139" i="4"/>
  <c r="F140" i="4"/>
  <c r="B142" i="4"/>
  <c r="D143" i="4"/>
  <c r="F144" i="4"/>
  <c r="B146" i="4"/>
  <c r="D147" i="4"/>
  <c r="F148" i="4"/>
  <c r="B150" i="4"/>
  <c r="D151" i="4"/>
  <c r="F152" i="4"/>
  <c r="B154" i="4"/>
  <c r="D155" i="4"/>
  <c r="F156" i="4"/>
  <c r="B158" i="4"/>
  <c r="D159" i="4"/>
  <c r="F160" i="4"/>
  <c r="B162" i="4"/>
  <c r="D163" i="4"/>
  <c r="F164" i="4"/>
  <c r="B166" i="4"/>
  <c r="C168" i="4"/>
  <c r="C170" i="4"/>
  <c r="D172" i="4"/>
  <c r="B175" i="4"/>
  <c r="F178" i="4"/>
  <c r="F181" i="4"/>
  <c r="E185" i="4"/>
  <c r="D189" i="4"/>
  <c r="D192" i="4"/>
  <c r="C196" i="4"/>
  <c r="D201" i="4"/>
  <c r="F206" i="4"/>
  <c r="B212" i="4"/>
  <c r="D217" i="4"/>
  <c r="F222" i="4"/>
  <c r="B228" i="4"/>
  <c r="D233" i="4"/>
  <c r="F238" i="4"/>
  <c r="B244" i="4"/>
  <c r="D249" i="4"/>
  <c r="F254" i="4"/>
  <c r="B260" i="4"/>
  <c r="D269" i="4"/>
  <c r="B280" i="4"/>
  <c r="F290" i="4"/>
  <c r="D301" i="4"/>
  <c r="C2" i="4"/>
  <c r="E3" i="4"/>
  <c r="A5" i="4"/>
  <c r="C6" i="4"/>
  <c r="E7" i="4"/>
  <c r="A9" i="4"/>
  <c r="C10" i="4"/>
  <c r="E11" i="4"/>
  <c r="A13" i="4"/>
  <c r="C14" i="4"/>
  <c r="E15" i="4"/>
  <c r="A17" i="4"/>
  <c r="C18" i="4"/>
  <c r="E19" i="4"/>
  <c r="A21" i="4"/>
  <c r="C22" i="4"/>
  <c r="E23" i="4"/>
  <c r="A25" i="4"/>
  <c r="C26" i="4"/>
  <c r="E27" i="4"/>
  <c r="A29" i="4"/>
  <c r="C30" i="4"/>
  <c r="E31" i="4"/>
  <c r="A33" i="4"/>
  <c r="C34" i="4"/>
  <c r="E35" i="4"/>
  <c r="A37" i="4"/>
  <c r="C38" i="4"/>
  <c r="E39" i="4"/>
  <c r="A41" i="4"/>
  <c r="C42" i="4"/>
  <c r="E43" i="4"/>
  <c r="A45" i="4"/>
  <c r="C46" i="4"/>
  <c r="E47" i="4"/>
  <c r="A49" i="4"/>
  <c r="C50" i="4"/>
  <c r="E51" i="4"/>
  <c r="A53" i="4"/>
  <c r="C54" i="4"/>
  <c r="E55" i="4"/>
  <c r="A57" i="4"/>
  <c r="C58" i="4"/>
  <c r="E59" i="4"/>
  <c r="A61" i="4"/>
  <c r="C62" i="4"/>
  <c r="E63" i="4"/>
  <c r="A65" i="4"/>
  <c r="C66" i="4"/>
  <c r="E67" i="4"/>
  <c r="A69" i="4"/>
  <c r="C70" i="4"/>
  <c r="E71" i="4"/>
  <c r="A73" i="4"/>
  <c r="C74" i="4"/>
  <c r="E75" i="4"/>
  <c r="A77" i="4"/>
  <c r="C78" i="4"/>
  <c r="E79" i="4"/>
  <c r="A81" i="4"/>
  <c r="C82" i="4"/>
  <c r="E83" i="4"/>
  <c r="A85" i="4"/>
  <c r="C86" i="4"/>
  <c r="E87" i="4"/>
  <c r="A89" i="4"/>
  <c r="C90" i="4"/>
  <c r="E91" i="4"/>
  <c r="A93" i="4"/>
  <c r="C94" i="4"/>
  <c r="E95" i="4"/>
  <c r="A97" i="4"/>
  <c r="C98" i="4"/>
  <c r="E99" i="4"/>
  <c r="A101" i="4"/>
  <c r="C102" i="4"/>
  <c r="E103" i="4"/>
  <c r="A105" i="4"/>
  <c r="C106" i="4"/>
  <c r="E107" i="4"/>
  <c r="A109" i="4"/>
  <c r="C110" i="4"/>
  <c r="E111" i="4"/>
  <c r="A113" i="4"/>
  <c r="C114" i="4"/>
  <c r="E115" i="4"/>
  <c r="A117" i="4"/>
  <c r="C118" i="4"/>
  <c r="E119" i="4"/>
  <c r="A121" i="4"/>
  <c r="C122" i="4"/>
  <c r="E123" i="4"/>
  <c r="A125" i="4"/>
  <c r="C126" i="4"/>
  <c r="E127" i="4"/>
  <c r="A129" i="4"/>
  <c r="C130" i="4"/>
  <c r="E131" i="4"/>
  <c r="A133" i="4"/>
  <c r="C134" i="4"/>
  <c r="E135" i="4"/>
  <c r="A137" i="4"/>
  <c r="C138" i="4"/>
  <c r="E139" i="4"/>
  <c r="A141" i="4"/>
  <c r="C142" i="4"/>
  <c r="E143" i="4"/>
  <c r="A145" i="4"/>
  <c r="C146" i="4"/>
  <c r="E147" i="4"/>
  <c r="A149" i="4"/>
  <c r="C150" i="4"/>
  <c r="E151" i="4"/>
  <c r="A153" i="4"/>
  <c r="C154" i="4"/>
  <c r="E155" i="4"/>
  <c r="A157" i="4"/>
  <c r="C158" i="4"/>
  <c r="E159" i="4"/>
  <c r="A161" i="4"/>
  <c r="C162" i="4"/>
  <c r="E163" i="4"/>
  <c r="A165" i="4"/>
  <c r="D168" i="4"/>
  <c r="F170" i="4"/>
  <c r="A173" i="4"/>
  <c r="E175" i="4"/>
  <c r="A179" i="4"/>
  <c r="F182" i="4"/>
  <c r="F185" i="4"/>
  <c r="E189" i="4"/>
  <c r="D193" i="4"/>
  <c r="D196" i="4"/>
  <c r="F201" i="4"/>
  <c r="B207" i="4"/>
  <c r="D212" i="4"/>
  <c r="F217" i="4"/>
  <c r="B223" i="4"/>
  <c r="D228" i="4"/>
  <c r="F233" i="4"/>
  <c r="B239" i="4"/>
  <c r="D244" i="4"/>
  <c r="F249" i="4"/>
  <c r="B255" i="4"/>
  <c r="D260" i="4"/>
  <c r="F270" i="4"/>
  <c r="B292" i="4"/>
  <c r="D298" i="4"/>
  <c r="D294" i="4"/>
  <c r="D290" i="4"/>
  <c r="D286" i="4"/>
  <c r="D282" i="4"/>
  <c r="D278" i="4"/>
  <c r="D274" i="4"/>
  <c r="D270" i="4"/>
  <c r="D266" i="4"/>
  <c r="D262" i="4"/>
  <c r="D258" i="4"/>
  <c r="D254" i="4"/>
  <c r="D250" i="4"/>
  <c r="D246" i="4"/>
  <c r="D242" i="4"/>
  <c r="D238" i="4"/>
  <c r="D234" i="4"/>
  <c r="D230" i="4"/>
  <c r="D226" i="4"/>
  <c r="D222" i="4"/>
  <c r="D218" i="4"/>
  <c r="D214" i="4"/>
  <c r="D210" i="4"/>
  <c r="D206" i="4"/>
  <c r="D202" i="4"/>
  <c r="D198" i="4"/>
  <c r="D194" i="4"/>
  <c r="D190" i="4"/>
  <c r="D186" i="4"/>
  <c r="D182" i="4"/>
  <c r="D178" i="4"/>
  <c r="D174" i="4"/>
  <c r="D170" i="4"/>
  <c r="D166" i="4"/>
  <c r="D299" i="4"/>
  <c r="D295" i="4"/>
  <c r="D291" i="4"/>
  <c r="D287" i="4"/>
  <c r="D283" i="4"/>
  <c r="D279" i="4"/>
  <c r="D275" i="4"/>
  <c r="D271" i="4"/>
  <c r="D267" i="4"/>
  <c r="D263" i="4"/>
  <c r="D259" i="4"/>
  <c r="D255" i="4"/>
  <c r="D251" i="4"/>
  <c r="D247" i="4"/>
  <c r="D243" i="4"/>
  <c r="D239" i="4"/>
  <c r="D235" i="4"/>
  <c r="D231" i="4"/>
  <c r="D227" i="4"/>
  <c r="D223" i="4"/>
  <c r="D219" i="4"/>
  <c r="D215" i="4"/>
  <c r="D211" i="4"/>
  <c r="D207" i="4"/>
  <c r="D203" i="4"/>
  <c r="D199" i="4"/>
  <c r="D195" i="4"/>
  <c r="D191" i="4"/>
  <c r="D187" i="4"/>
  <c r="D183" i="4"/>
  <c r="D179" i="4"/>
  <c r="D175" i="4"/>
  <c r="D300" i="4"/>
  <c r="D296" i="4"/>
  <c r="D292" i="4"/>
  <c r="D288" i="4"/>
  <c r="D284" i="4"/>
  <c r="D280" i="4"/>
  <c r="D276" i="4"/>
  <c r="D272" i="4"/>
  <c r="D268" i="4"/>
  <c r="D264" i="4"/>
  <c r="D2" i="4"/>
  <c r="F3" i="4"/>
  <c r="B5" i="4"/>
  <c r="D6" i="4"/>
  <c r="F7" i="4"/>
  <c r="B9" i="4"/>
  <c r="D10" i="4"/>
  <c r="F11" i="4"/>
  <c r="B13" i="4"/>
  <c r="D14" i="4"/>
  <c r="F15" i="4"/>
  <c r="B17" i="4"/>
  <c r="D18" i="4"/>
  <c r="F19" i="4"/>
  <c r="B21" i="4"/>
  <c r="D22" i="4"/>
  <c r="F23" i="4"/>
  <c r="B25" i="4"/>
  <c r="D26" i="4"/>
  <c r="F27" i="4"/>
  <c r="B29" i="4"/>
  <c r="D30" i="4"/>
  <c r="F31" i="4"/>
  <c r="B33" i="4"/>
  <c r="D34" i="4"/>
  <c r="F35" i="4"/>
  <c r="B37" i="4"/>
  <c r="D38" i="4"/>
  <c r="F39" i="4"/>
  <c r="B41" i="4"/>
  <c r="D42" i="4"/>
  <c r="F43" i="4"/>
  <c r="B45" i="4"/>
  <c r="D46" i="4"/>
  <c r="F47" i="4"/>
  <c r="B49" i="4"/>
  <c r="D50" i="4"/>
  <c r="F51" i="4"/>
  <c r="B53" i="4"/>
  <c r="D54" i="4"/>
  <c r="F55" i="4"/>
  <c r="B57" i="4"/>
  <c r="D58" i="4"/>
  <c r="F59" i="4"/>
  <c r="B61" i="4"/>
  <c r="D62" i="4"/>
  <c r="F63" i="4"/>
  <c r="B65" i="4"/>
  <c r="D66" i="4"/>
  <c r="F67" i="4"/>
  <c r="B69" i="4"/>
  <c r="D70" i="4"/>
  <c r="F71" i="4"/>
  <c r="B73" i="4"/>
  <c r="D74" i="4"/>
  <c r="F75" i="4"/>
  <c r="B77" i="4"/>
  <c r="D78" i="4"/>
  <c r="F79" i="4"/>
  <c r="B81" i="4"/>
  <c r="D82" i="4"/>
  <c r="F83" i="4"/>
  <c r="B85" i="4"/>
  <c r="D86" i="4"/>
  <c r="F87" i="4"/>
  <c r="B89" i="4"/>
  <c r="D90" i="4"/>
  <c r="F91" i="4"/>
  <c r="B93" i="4"/>
  <c r="D94" i="4"/>
  <c r="F95" i="4"/>
  <c r="B97" i="4"/>
  <c r="D98" i="4"/>
  <c r="F99" i="4"/>
  <c r="B101" i="4"/>
  <c r="D102" i="4"/>
  <c r="F103" i="4"/>
  <c r="B105" i="4"/>
  <c r="D106" i="4"/>
  <c r="F107" i="4"/>
  <c r="B109" i="4"/>
  <c r="D110" i="4"/>
  <c r="F111" i="4"/>
  <c r="B113" i="4"/>
  <c r="D114" i="4"/>
  <c r="F115" i="4"/>
  <c r="B117" i="4"/>
  <c r="D118" i="4"/>
  <c r="F119" i="4"/>
  <c r="B121" i="4"/>
  <c r="D122" i="4"/>
  <c r="F123" i="4"/>
  <c r="B125" i="4"/>
  <c r="D126" i="4"/>
  <c r="F127" i="4"/>
  <c r="B129" i="4"/>
  <c r="D130" i="4"/>
  <c r="F131" i="4"/>
  <c r="B133" i="4"/>
  <c r="D134" i="4"/>
  <c r="F135" i="4"/>
  <c r="B137" i="4"/>
  <c r="D138" i="4"/>
  <c r="F139" i="4"/>
  <c r="B141" i="4"/>
  <c r="D142" i="4"/>
  <c r="F143" i="4"/>
  <c r="B145" i="4"/>
  <c r="D146" i="4"/>
  <c r="F147" i="4"/>
  <c r="B149" i="4"/>
  <c r="D150" i="4"/>
  <c r="F151" i="4"/>
  <c r="B153" i="4"/>
  <c r="D154" i="4"/>
  <c r="F155" i="4"/>
  <c r="B157" i="4"/>
  <c r="D158" i="4"/>
  <c r="F159" i="4"/>
  <c r="B161" i="4"/>
  <c r="D162" i="4"/>
  <c r="F163" i="4"/>
  <c r="B165" i="4"/>
  <c r="F166" i="4"/>
  <c r="F168" i="4"/>
  <c r="A171" i="4"/>
  <c r="D173" i="4"/>
  <c r="B176" i="4"/>
  <c r="B179" i="4"/>
  <c r="A183" i="4"/>
  <c r="F186" i="4"/>
  <c r="F189" i="4"/>
  <c r="D197" i="4"/>
  <c r="F202" i="4"/>
  <c r="B208" i="4"/>
  <c r="D213" i="4"/>
  <c r="F218" i="4"/>
  <c r="B224" i="4"/>
  <c r="D229" i="4"/>
  <c r="F234" i="4"/>
  <c r="B240" i="4"/>
  <c r="D245" i="4"/>
  <c r="F250" i="4"/>
  <c r="B256" i="4"/>
  <c r="D261" i="4"/>
  <c r="B272" i="4"/>
  <c r="F282" i="4"/>
  <c r="D293" i="4"/>
  <c r="C301" i="4"/>
  <c r="C297" i="4"/>
  <c r="C293" i="4"/>
  <c r="C289" i="4"/>
  <c r="C285" i="4"/>
  <c r="C281" i="4"/>
  <c r="C277" i="4"/>
  <c r="C273" i="4"/>
  <c r="C269" i="4"/>
  <c r="C265" i="4"/>
  <c r="C261" i="4"/>
  <c r="C257" i="4"/>
  <c r="C253" i="4"/>
  <c r="C249" i="4"/>
  <c r="C245" i="4"/>
  <c r="C241" i="4"/>
  <c r="C237" i="4"/>
  <c r="C233" i="4"/>
  <c r="C229" i="4"/>
  <c r="C225" i="4"/>
  <c r="C221" i="4"/>
  <c r="C217" i="4"/>
  <c r="C213" i="4"/>
  <c r="C209" i="4"/>
  <c r="C205" i="4"/>
  <c r="C201" i="4"/>
  <c r="C197" i="4"/>
  <c r="C193" i="4"/>
  <c r="C189" i="4"/>
  <c r="C185" i="4"/>
  <c r="C181" i="4"/>
  <c r="C177" i="4"/>
  <c r="C173" i="4"/>
  <c r="C169" i="4"/>
  <c r="C298" i="4"/>
  <c r="C294" i="4"/>
  <c r="C290" i="4"/>
  <c r="C286" i="4"/>
  <c r="C282" i="4"/>
  <c r="C278" i="4"/>
  <c r="C274" i="4"/>
  <c r="C270" i="4"/>
  <c r="C266" i="4"/>
  <c r="C262" i="4"/>
  <c r="C258" i="4"/>
  <c r="C254" i="4"/>
  <c r="C250" i="4"/>
  <c r="C246" i="4"/>
  <c r="C242" i="4"/>
  <c r="C238" i="4"/>
  <c r="C234" i="4"/>
  <c r="C230" i="4"/>
  <c r="C226" i="4"/>
  <c r="C222" i="4"/>
  <c r="C218" i="4"/>
  <c r="C214" i="4"/>
  <c r="C210" i="4"/>
  <c r="C206" i="4"/>
  <c r="C202" i="4"/>
  <c r="C198" i="4"/>
  <c r="C194" i="4"/>
  <c r="C190" i="4"/>
  <c r="C186" i="4"/>
  <c r="C182" i="4"/>
  <c r="C178" i="4"/>
  <c r="C299" i="4"/>
  <c r="C295" i="4"/>
  <c r="C291" i="4"/>
  <c r="C287" i="4"/>
  <c r="C283" i="4"/>
  <c r="C279" i="4"/>
  <c r="C275" i="4"/>
  <c r="C271" i="4"/>
  <c r="C267" i="4"/>
  <c r="C263" i="4"/>
  <c r="C259" i="4"/>
  <c r="C255" i="4"/>
  <c r="C251" i="4"/>
  <c r="C247" i="4"/>
  <c r="C243" i="4"/>
  <c r="C239" i="4"/>
  <c r="C235" i="4"/>
  <c r="C231" i="4"/>
  <c r="C227" i="4"/>
  <c r="C223" i="4"/>
  <c r="C219" i="4"/>
  <c r="C215" i="4"/>
  <c r="C211" i="4"/>
  <c r="C207" i="4"/>
  <c r="C203" i="4"/>
  <c r="C199" i="4"/>
  <c r="C195" i="4"/>
  <c r="C191" i="4"/>
  <c r="C187" i="4"/>
  <c r="C183" i="4"/>
  <c r="C179" i="4"/>
  <c r="C175" i="4"/>
  <c r="C171" i="4"/>
  <c r="C167" i="4"/>
  <c r="C300" i="4"/>
  <c r="C296" i="4"/>
  <c r="C292" i="4"/>
  <c r="C288" i="4"/>
  <c r="C284" i="4"/>
  <c r="C280" i="4"/>
  <c r="C276" i="4"/>
  <c r="C272" i="4"/>
  <c r="C268" i="4"/>
  <c r="C264" i="4"/>
  <c r="C260" i="4"/>
  <c r="C256" i="4"/>
  <c r="C252" i="4"/>
  <c r="C248" i="4"/>
  <c r="C244" i="4"/>
  <c r="C240" i="4"/>
  <c r="C236" i="4"/>
  <c r="C232" i="4"/>
  <c r="C228" i="4"/>
  <c r="C224" i="4"/>
  <c r="C220" i="4"/>
  <c r="C216" i="4"/>
  <c r="C212" i="4"/>
  <c r="C208" i="4"/>
  <c r="C204" i="4"/>
  <c r="C200" i="4"/>
  <c r="E298" i="4"/>
  <c r="E294" i="4"/>
  <c r="E290" i="4"/>
  <c r="E286" i="4"/>
  <c r="E282" i="4"/>
  <c r="E278" i="4"/>
  <c r="E274" i="4"/>
  <c r="E270" i="4"/>
  <c r="E266" i="4"/>
  <c r="E262" i="4"/>
  <c r="E258" i="4"/>
  <c r="E254" i="4"/>
  <c r="E250" i="4"/>
  <c r="E246" i="4"/>
  <c r="E242" i="4"/>
  <c r="E238" i="4"/>
  <c r="E234" i="4"/>
  <c r="E230" i="4"/>
  <c r="E226" i="4"/>
  <c r="E222" i="4"/>
  <c r="E218" i="4"/>
  <c r="E214" i="4"/>
  <c r="E210" i="4"/>
  <c r="E206" i="4"/>
  <c r="E202" i="4"/>
  <c r="E198" i="4"/>
  <c r="E194" i="4"/>
  <c r="E190" i="4"/>
  <c r="E186" i="4"/>
  <c r="E182" i="4"/>
  <c r="E178" i="4"/>
  <c r="E174" i="4"/>
  <c r="E170" i="4"/>
  <c r="E166" i="4"/>
  <c r="E299" i="4"/>
  <c r="E295" i="4"/>
  <c r="E291" i="4"/>
  <c r="E287" i="4"/>
  <c r="E283" i="4"/>
  <c r="E279" i="4"/>
  <c r="E275" i="4"/>
  <c r="E271" i="4"/>
  <c r="E267" i="4"/>
  <c r="E263" i="4"/>
  <c r="E259" i="4"/>
  <c r="E255" i="4"/>
  <c r="E251" i="4"/>
  <c r="E247" i="4"/>
  <c r="E243" i="4"/>
  <c r="E239" i="4"/>
  <c r="E235" i="4"/>
  <c r="E231" i="4"/>
  <c r="E227" i="4"/>
  <c r="E223" i="4"/>
  <c r="E219" i="4"/>
  <c r="E215" i="4"/>
  <c r="E211" i="4"/>
  <c r="E207" i="4"/>
  <c r="E203" i="4"/>
  <c r="E199" i="4"/>
  <c r="E195" i="4"/>
  <c r="E191" i="4"/>
  <c r="E187" i="4"/>
  <c r="E183" i="4"/>
  <c r="E179" i="4"/>
  <c r="E300" i="4"/>
  <c r="E296" i="4"/>
  <c r="E292" i="4"/>
  <c r="E288" i="4"/>
  <c r="E284" i="4"/>
  <c r="E280" i="4"/>
  <c r="E276" i="4"/>
  <c r="E272" i="4"/>
  <c r="E268" i="4"/>
  <c r="E264" i="4"/>
  <c r="E260" i="4"/>
  <c r="E256" i="4"/>
  <c r="E252" i="4"/>
  <c r="E248" i="4"/>
  <c r="E244" i="4"/>
  <c r="E240" i="4"/>
  <c r="E236" i="4"/>
  <c r="E232" i="4"/>
  <c r="E228" i="4"/>
  <c r="E224" i="4"/>
  <c r="E220" i="4"/>
  <c r="E216" i="4"/>
  <c r="E212" i="4"/>
  <c r="E208" i="4"/>
  <c r="E204" i="4"/>
  <c r="E200" i="4"/>
  <c r="E196" i="4"/>
  <c r="E192" i="4"/>
  <c r="E188" i="4"/>
  <c r="E184" i="4"/>
  <c r="E180" i="4"/>
  <c r="E176" i="4"/>
  <c r="E172" i="4"/>
  <c r="E168" i="4"/>
  <c r="E301" i="4"/>
  <c r="E297" i="4"/>
  <c r="E293" i="4"/>
  <c r="E289" i="4"/>
  <c r="E285" i="4"/>
  <c r="E281" i="4"/>
  <c r="E277" i="4"/>
  <c r="E273" i="4"/>
  <c r="E269" i="4"/>
  <c r="E265" i="4"/>
  <c r="E261" i="4"/>
  <c r="E257" i="4"/>
  <c r="E253" i="4"/>
  <c r="E249" i="4"/>
  <c r="E245" i="4"/>
  <c r="E241" i="4"/>
  <c r="E237" i="4"/>
  <c r="E233" i="4"/>
  <c r="E229" i="4"/>
  <c r="E225" i="4"/>
  <c r="E221" i="4"/>
  <c r="E217" i="4"/>
  <c r="E213" i="4"/>
  <c r="E209" i="4"/>
  <c r="E205" i="4"/>
  <c r="E201" i="4"/>
  <c r="E197" i="4"/>
  <c r="E2" i="4"/>
  <c r="A4" i="4"/>
  <c r="C5" i="4"/>
  <c r="E6" i="4"/>
  <c r="A8" i="4"/>
  <c r="C9" i="4"/>
  <c r="E10" i="4"/>
  <c r="A12" i="4"/>
  <c r="C13" i="4"/>
  <c r="E14" i="4"/>
  <c r="A16" i="4"/>
  <c r="C17" i="4"/>
  <c r="E18" i="4"/>
  <c r="A20" i="4"/>
  <c r="C21" i="4"/>
  <c r="E22" i="4"/>
  <c r="A24" i="4"/>
  <c r="C25" i="4"/>
  <c r="E26" i="4"/>
  <c r="A28" i="4"/>
  <c r="C29" i="4"/>
  <c r="E30" i="4"/>
  <c r="A32" i="4"/>
  <c r="C33" i="4"/>
  <c r="E34" i="4"/>
  <c r="A36" i="4"/>
  <c r="C37" i="4"/>
  <c r="E38" i="4"/>
  <c r="A40" i="4"/>
  <c r="C41" i="4"/>
  <c r="E42" i="4"/>
  <c r="A44" i="4"/>
  <c r="C45" i="4"/>
  <c r="E46" i="4"/>
  <c r="A48" i="4"/>
  <c r="C49" i="4"/>
  <c r="E50" i="4"/>
  <c r="A52" i="4"/>
  <c r="C53" i="4"/>
  <c r="E54" i="4"/>
  <c r="A56" i="4"/>
  <c r="C57" i="4"/>
  <c r="E58" i="4"/>
  <c r="A60" i="4"/>
  <c r="C61" i="4"/>
  <c r="E62" i="4"/>
  <c r="A64" i="4"/>
  <c r="C65" i="4"/>
  <c r="E66" i="4"/>
  <c r="A68" i="4"/>
  <c r="C69" i="4"/>
  <c r="E70" i="4"/>
  <c r="A72" i="4"/>
  <c r="C73" i="4"/>
  <c r="E74" i="4"/>
  <c r="A76" i="4"/>
  <c r="C77" i="4"/>
  <c r="E78" i="4"/>
  <c r="A80" i="4"/>
  <c r="C81" i="4"/>
  <c r="E82" i="4"/>
  <c r="A84" i="4"/>
  <c r="C85" i="4"/>
  <c r="E86" i="4"/>
  <c r="A88" i="4"/>
  <c r="C89" i="4"/>
  <c r="E90" i="4"/>
  <c r="A92" i="4"/>
  <c r="C93" i="4"/>
  <c r="E94" i="4"/>
  <c r="A96" i="4"/>
  <c r="C97" i="4"/>
  <c r="E98" i="4"/>
  <c r="A100" i="4"/>
  <c r="C101" i="4"/>
  <c r="E102" i="4"/>
  <c r="A104" i="4"/>
  <c r="C105" i="4"/>
  <c r="E106" i="4"/>
  <c r="A108" i="4"/>
  <c r="C109" i="4"/>
  <c r="E110" i="4"/>
  <c r="A112" i="4"/>
  <c r="C113" i="4"/>
  <c r="E114" i="4"/>
  <c r="A116" i="4"/>
  <c r="C117" i="4"/>
  <c r="E118" i="4"/>
  <c r="A120" i="4"/>
  <c r="C121" i="4"/>
  <c r="E122" i="4"/>
  <c r="A124" i="4"/>
  <c r="C125" i="4"/>
  <c r="E126" i="4"/>
  <c r="A128" i="4"/>
  <c r="C129" i="4"/>
  <c r="E130" i="4"/>
  <c r="A132" i="4"/>
  <c r="C133" i="4"/>
  <c r="E134" i="4"/>
  <c r="A136" i="4"/>
  <c r="C137" i="4"/>
  <c r="E138" i="4"/>
  <c r="A140" i="4"/>
  <c r="C141" i="4"/>
  <c r="E142" i="4"/>
  <c r="A144" i="4"/>
  <c r="C145" i="4"/>
  <c r="E146" i="4"/>
  <c r="A148" i="4"/>
  <c r="C149" i="4"/>
  <c r="E150" i="4"/>
  <c r="A152" i="4"/>
  <c r="C153" i="4"/>
  <c r="E154" i="4"/>
  <c r="A156" i="4"/>
  <c r="C157" i="4"/>
  <c r="E158" i="4"/>
  <c r="A160" i="4"/>
  <c r="C161" i="4"/>
  <c r="E162" i="4"/>
  <c r="A164" i="4"/>
  <c r="C165" i="4"/>
  <c r="A167" i="4"/>
  <c r="A169" i="4"/>
  <c r="B171" i="4"/>
  <c r="E173" i="4"/>
  <c r="C176" i="4"/>
  <c r="B180" i="4"/>
  <c r="B183" i="4"/>
  <c r="A187" i="4"/>
  <c r="F190" i="4"/>
  <c r="F193" i="4"/>
  <c r="F197" i="4"/>
  <c r="B203" i="4"/>
  <c r="D208" i="4"/>
  <c r="F213" i="4"/>
  <c r="B219" i="4"/>
  <c r="D224" i="4"/>
  <c r="F229" i="4"/>
  <c r="B235" i="4"/>
  <c r="D240" i="4"/>
  <c r="F245" i="4"/>
  <c r="B251" i="4"/>
  <c r="D256" i="4"/>
  <c r="F262" i="4"/>
  <c r="D273" i="4"/>
  <c r="B284" i="4"/>
  <c r="F294" i="4"/>
  <c r="L33" i="6" l="1"/>
  <c r="C68" i="10"/>
  <c r="B68" i="10"/>
  <c r="A68" i="10"/>
  <c r="E68" i="8"/>
  <c r="D68" i="8"/>
  <c r="C68" i="8"/>
  <c r="B68" i="8"/>
  <c r="C60" i="10"/>
  <c r="B60" i="10"/>
  <c r="A60" i="10"/>
  <c r="E60" i="8"/>
  <c r="D60" i="8"/>
  <c r="C60" i="8"/>
  <c r="B60" i="8"/>
  <c r="C108" i="10"/>
  <c r="B108" i="10"/>
  <c r="A108" i="10"/>
  <c r="E108" i="8"/>
  <c r="D108" i="8"/>
  <c r="C108" i="8"/>
  <c r="B108" i="8"/>
  <c r="C269" i="10"/>
  <c r="B269" i="10"/>
  <c r="A269" i="10"/>
  <c r="E269" i="8"/>
  <c r="D269" i="8"/>
  <c r="C269" i="8"/>
  <c r="B269" i="8"/>
  <c r="C140" i="10"/>
  <c r="B140" i="10"/>
  <c r="A140" i="10"/>
  <c r="B140" i="8"/>
  <c r="E140" i="8"/>
  <c r="D140" i="8"/>
  <c r="C140" i="8"/>
  <c r="C55" i="10"/>
  <c r="B55" i="10"/>
  <c r="A55" i="10"/>
  <c r="E55" i="8"/>
  <c r="C55" i="8"/>
  <c r="B55" i="8"/>
  <c r="D55" i="8"/>
  <c r="C119" i="10"/>
  <c r="B119" i="10"/>
  <c r="A119" i="10"/>
  <c r="E119" i="8"/>
  <c r="C119" i="8"/>
  <c r="B119" i="8"/>
  <c r="D119" i="8"/>
  <c r="C54" i="10"/>
  <c r="B54" i="10"/>
  <c r="A54" i="10"/>
  <c r="E54" i="8"/>
  <c r="D54" i="8"/>
  <c r="B54" i="8"/>
  <c r="C54" i="8"/>
  <c r="C118" i="10"/>
  <c r="B118" i="10"/>
  <c r="A118" i="10"/>
  <c r="E118" i="8"/>
  <c r="D118" i="8"/>
  <c r="B118" i="8"/>
  <c r="C118" i="8"/>
  <c r="C21" i="10"/>
  <c r="B21" i="10"/>
  <c r="A21" i="10"/>
  <c r="E21" i="8"/>
  <c r="D21" i="8"/>
  <c r="C21" i="8"/>
  <c r="B21" i="8"/>
  <c r="C85" i="10"/>
  <c r="B85" i="10"/>
  <c r="A85" i="10"/>
  <c r="E85" i="8"/>
  <c r="D85" i="8"/>
  <c r="C85" i="8"/>
  <c r="B85" i="8"/>
  <c r="C182" i="10"/>
  <c r="B182" i="10"/>
  <c r="A182" i="10"/>
  <c r="E182" i="8"/>
  <c r="D182" i="8"/>
  <c r="C182" i="8"/>
  <c r="B182" i="8"/>
  <c r="A35" i="10"/>
  <c r="C35" i="10"/>
  <c r="B35" i="10"/>
  <c r="D35" i="8"/>
  <c r="C35" i="8"/>
  <c r="B35" i="8"/>
  <c r="E35" i="8"/>
  <c r="A99" i="10"/>
  <c r="C99" i="10"/>
  <c r="B99" i="10"/>
  <c r="D99" i="8"/>
  <c r="C99" i="8"/>
  <c r="B99" i="8"/>
  <c r="E99" i="8"/>
  <c r="C206" i="10"/>
  <c r="B206" i="10"/>
  <c r="A206" i="10"/>
  <c r="E206" i="8"/>
  <c r="D206" i="8"/>
  <c r="C206" i="8"/>
  <c r="B206" i="8"/>
  <c r="C42" i="10"/>
  <c r="B42" i="10"/>
  <c r="A42" i="10"/>
  <c r="C42" i="8"/>
  <c r="B42" i="8"/>
  <c r="D42" i="8"/>
  <c r="E42" i="8"/>
  <c r="C106" i="10"/>
  <c r="B106" i="10"/>
  <c r="A106" i="10"/>
  <c r="C106" i="8"/>
  <c r="B106" i="8"/>
  <c r="E106" i="8"/>
  <c r="D106" i="8"/>
  <c r="C261" i="10"/>
  <c r="B261" i="10"/>
  <c r="A261" i="10"/>
  <c r="E261" i="8"/>
  <c r="D261" i="8"/>
  <c r="C261" i="8"/>
  <c r="B261" i="8"/>
  <c r="C57" i="10"/>
  <c r="B57" i="10"/>
  <c r="A57" i="10"/>
  <c r="B57" i="8"/>
  <c r="E57" i="8"/>
  <c r="D57" i="8"/>
  <c r="C57" i="8"/>
  <c r="C121" i="10"/>
  <c r="B121" i="10"/>
  <c r="A121" i="10"/>
  <c r="B121" i="8"/>
  <c r="E121" i="8"/>
  <c r="D121" i="8"/>
  <c r="C121" i="8"/>
  <c r="C294" i="10"/>
  <c r="B294" i="10"/>
  <c r="A294" i="10"/>
  <c r="E294" i="8"/>
  <c r="D294" i="8"/>
  <c r="C294" i="8"/>
  <c r="B294" i="8"/>
  <c r="B64" i="10"/>
  <c r="A64" i="10"/>
  <c r="C64" i="10"/>
  <c r="D64" i="8"/>
  <c r="C64" i="8"/>
  <c r="B64" i="8"/>
  <c r="E64" i="8"/>
  <c r="B128" i="10"/>
  <c r="A128" i="10"/>
  <c r="C128" i="10"/>
  <c r="D128" i="8"/>
  <c r="C128" i="8"/>
  <c r="B128" i="8"/>
  <c r="E128" i="8"/>
  <c r="B144" i="10"/>
  <c r="A144" i="10"/>
  <c r="C144" i="10"/>
  <c r="B144" i="8"/>
  <c r="C144" i="8"/>
  <c r="E144" i="8"/>
  <c r="D144" i="8"/>
  <c r="B208" i="10"/>
  <c r="A208" i="10"/>
  <c r="C208" i="10"/>
  <c r="E208" i="8"/>
  <c r="B208" i="8"/>
  <c r="D208" i="8"/>
  <c r="C208" i="8"/>
  <c r="B272" i="10"/>
  <c r="A272" i="10"/>
  <c r="C272" i="10"/>
  <c r="E272" i="8"/>
  <c r="B272" i="8"/>
  <c r="D272" i="8"/>
  <c r="C272" i="8"/>
  <c r="C175" i="10"/>
  <c r="B175" i="10"/>
  <c r="A175" i="10"/>
  <c r="E175" i="8"/>
  <c r="D175" i="8"/>
  <c r="C175" i="8"/>
  <c r="B175" i="8"/>
  <c r="C239" i="10"/>
  <c r="B239" i="10"/>
  <c r="A239" i="10"/>
  <c r="E239" i="8"/>
  <c r="D239" i="8"/>
  <c r="C239" i="8"/>
  <c r="B239" i="8"/>
  <c r="C301" i="10"/>
  <c r="B301" i="10"/>
  <c r="A301" i="10"/>
  <c r="E301" i="8"/>
  <c r="D301" i="8"/>
  <c r="C301" i="8"/>
  <c r="B301" i="8"/>
  <c r="C212" i="10"/>
  <c r="B212" i="10"/>
  <c r="A212" i="10"/>
  <c r="D212" i="8"/>
  <c r="C212" i="8"/>
  <c r="B212" i="8"/>
  <c r="E212" i="8"/>
  <c r="C276" i="10"/>
  <c r="B276" i="10"/>
  <c r="A276" i="10"/>
  <c r="D276" i="8"/>
  <c r="C276" i="8"/>
  <c r="B276" i="8"/>
  <c r="E276" i="8"/>
  <c r="A179" i="10"/>
  <c r="C179" i="10"/>
  <c r="B179" i="10"/>
  <c r="C179" i="8"/>
  <c r="B179" i="8"/>
  <c r="E179" i="8"/>
  <c r="D179" i="8"/>
  <c r="A243" i="10"/>
  <c r="C243" i="10"/>
  <c r="B243" i="10"/>
  <c r="C243" i="8"/>
  <c r="B243" i="8"/>
  <c r="E243" i="8"/>
  <c r="D243" i="8"/>
  <c r="C146" i="10"/>
  <c r="B146" i="10"/>
  <c r="A146" i="10"/>
  <c r="B146" i="8"/>
  <c r="D146" i="8"/>
  <c r="C146" i="8"/>
  <c r="E146" i="8"/>
  <c r="C210" i="10"/>
  <c r="B210" i="10"/>
  <c r="A210" i="10"/>
  <c r="B210" i="8"/>
  <c r="D210" i="8"/>
  <c r="C210" i="8"/>
  <c r="E210" i="8"/>
  <c r="C274" i="10"/>
  <c r="B274" i="10"/>
  <c r="A274" i="10"/>
  <c r="B274" i="8"/>
  <c r="D274" i="8"/>
  <c r="C274" i="8"/>
  <c r="E274" i="8"/>
  <c r="C177" i="10"/>
  <c r="B177" i="10"/>
  <c r="A177" i="10"/>
  <c r="C177" i="8"/>
  <c r="B177" i="8"/>
  <c r="D177" i="8"/>
  <c r="E177" i="8"/>
  <c r="C241" i="10"/>
  <c r="B241" i="10"/>
  <c r="A241" i="10"/>
  <c r="C241" i="8"/>
  <c r="B241" i="8"/>
  <c r="D241" i="8"/>
  <c r="E241" i="8"/>
  <c r="C132" i="10"/>
  <c r="B132" i="10"/>
  <c r="A132" i="10"/>
  <c r="E132" i="8"/>
  <c r="D132" i="8"/>
  <c r="C132" i="8"/>
  <c r="B132" i="8"/>
  <c r="C124" i="10"/>
  <c r="B124" i="10"/>
  <c r="A124" i="10"/>
  <c r="E124" i="8"/>
  <c r="D124" i="8"/>
  <c r="C124" i="8"/>
  <c r="B124" i="8"/>
  <c r="B12" i="10"/>
  <c r="E12" i="8"/>
  <c r="D12" i="8"/>
  <c r="C12" i="8"/>
  <c r="B12" i="8"/>
  <c r="A12" i="10" s="1"/>
  <c r="B13" i="10"/>
  <c r="E13" i="8"/>
  <c r="D13" i="8"/>
  <c r="C13" i="8"/>
  <c r="B13" i="8"/>
  <c r="A13" i="10" s="1"/>
  <c r="C205" i="10"/>
  <c r="B205" i="10"/>
  <c r="A205" i="10"/>
  <c r="E205" i="8"/>
  <c r="D205" i="8"/>
  <c r="C205" i="8"/>
  <c r="B205" i="8"/>
  <c r="C63" i="10"/>
  <c r="B63" i="10"/>
  <c r="A63" i="10"/>
  <c r="E63" i="8"/>
  <c r="C63" i="8"/>
  <c r="B63" i="8"/>
  <c r="D63" i="8"/>
  <c r="C127" i="10"/>
  <c r="B127" i="10"/>
  <c r="A127" i="10"/>
  <c r="E127" i="8"/>
  <c r="C127" i="8"/>
  <c r="B127" i="8"/>
  <c r="D127" i="8"/>
  <c r="F127" i="8" s="1"/>
  <c r="C62" i="10"/>
  <c r="B62" i="10"/>
  <c r="A62" i="10"/>
  <c r="E62" i="8"/>
  <c r="D62" i="8"/>
  <c r="B62" i="8"/>
  <c r="C62" i="8"/>
  <c r="C126" i="10"/>
  <c r="B126" i="10"/>
  <c r="A126" i="10"/>
  <c r="E126" i="8"/>
  <c r="D126" i="8"/>
  <c r="B126" i="8"/>
  <c r="C126" i="8"/>
  <c r="C29" i="10"/>
  <c r="B29" i="10"/>
  <c r="A29" i="10"/>
  <c r="E29" i="8"/>
  <c r="D29" i="8"/>
  <c r="C29" i="8"/>
  <c r="B29" i="8"/>
  <c r="C93" i="10"/>
  <c r="B93" i="10"/>
  <c r="A93" i="10"/>
  <c r="E93" i="8"/>
  <c r="D93" i="8"/>
  <c r="C93" i="8"/>
  <c r="B93" i="8"/>
  <c r="C214" i="10"/>
  <c r="B214" i="10"/>
  <c r="A214" i="10"/>
  <c r="E214" i="8"/>
  <c r="D214" i="8"/>
  <c r="C214" i="8"/>
  <c r="B214" i="8"/>
  <c r="A43" i="10"/>
  <c r="C43" i="10"/>
  <c r="B43" i="10"/>
  <c r="D43" i="8"/>
  <c r="C43" i="8"/>
  <c r="B43" i="8"/>
  <c r="E43" i="8"/>
  <c r="A107" i="10"/>
  <c r="C107" i="10"/>
  <c r="B107" i="10"/>
  <c r="D107" i="8"/>
  <c r="C107" i="8"/>
  <c r="B107" i="8"/>
  <c r="E107" i="8"/>
  <c r="C238" i="10"/>
  <c r="B238" i="10"/>
  <c r="A238" i="10"/>
  <c r="E238" i="8"/>
  <c r="D238" i="8"/>
  <c r="C238" i="8"/>
  <c r="B238" i="8"/>
  <c r="C50" i="10"/>
  <c r="B50" i="10"/>
  <c r="A50" i="10"/>
  <c r="C50" i="8"/>
  <c r="B50" i="8"/>
  <c r="D50" i="8"/>
  <c r="E50" i="8"/>
  <c r="C114" i="10"/>
  <c r="B114" i="10"/>
  <c r="A114" i="10"/>
  <c r="C114" i="8"/>
  <c r="B114" i="8"/>
  <c r="E114" i="8"/>
  <c r="D114" i="8"/>
  <c r="C293" i="10"/>
  <c r="B293" i="10"/>
  <c r="A293" i="10"/>
  <c r="E293" i="8"/>
  <c r="D293" i="8"/>
  <c r="C293" i="8"/>
  <c r="B293" i="8"/>
  <c r="C65" i="10"/>
  <c r="B65" i="10"/>
  <c r="A65" i="10"/>
  <c r="B65" i="8"/>
  <c r="E65" i="8"/>
  <c r="D65" i="8"/>
  <c r="C65" i="8"/>
  <c r="C129" i="10"/>
  <c r="B129" i="10"/>
  <c r="A129" i="10"/>
  <c r="B129" i="8"/>
  <c r="E129" i="8"/>
  <c r="D129" i="8"/>
  <c r="C129" i="8"/>
  <c r="B8" i="10"/>
  <c r="B8" i="8"/>
  <c r="A8" i="10" s="1"/>
  <c r="E8" i="8"/>
  <c r="D8" i="8"/>
  <c r="C8" i="8"/>
  <c r="B72" i="10"/>
  <c r="A72" i="10"/>
  <c r="C72" i="10"/>
  <c r="D72" i="8"/>
  <c r="C72" i="8"/>
  <c r="B72" i="8"/>
  <c r="E72" i="8"/>
  <c r="B136" i="10"/>
  <c r="A136" i="10"/>
  <c r="C136" i="10"/>
  <c r="D136" i="8"/>
  <c r="C136" i="8"/>
  <c r="B136" i="8"/>
  <c r="E136" i="8"/>
  <c r="B152" i="10"/>
  <c r="A152" i="10"/>
  <c r="C152" i="10"/>
  <c r="B152" i="8"/>
  <c r="E152" i="8"/>
  <c r="D152" i="8"/>
  <c r="C152" i="8"/>
  <c r="B216" i="10"/>
  <c r="A216" i="10"/>
  <c r="C216" i="10"/>
  <c r="E216" i="8"/>
  <c r="B216" i="8"/>
  <c r="D216" i="8"/>
  <c r="C216" i="8"/>
  <c r="B280" i="10"/>
  <c r="A280" i="10"/>
  <c r="C280" i="10"/>
  <c r="E280" i="8"/>
  <c r="B280" i="8"/>
  <c r="D280" i="8"/>
  <c r="C280" i="8"/>
  <c r="C183" i="10"/>
  <c r="B183" i="10"/>
  <c r="A183" i="10"/>
  <c r="E183" i="8"/>
  <c r="D183" i="8"/>
  <c r="C183" i="8"/>
  <c r="B183" i="8"/>
  <c r="C247" i="10"/>
  <c r="B247" i="10"/>
  <c r="A247" i="10"/>
  <c r="E247" i="8"/>
  <c r="D247" i="8"/>
  <c r="C247" i="8"/>
  <c r="B247" i="8"/>
  <c r="C156" i="10"/>
  <c r="B156" i="10"/>
  <c r="A156" i="10"/>
  <c r="D156" i="8"/>
  <c r="C156" i="8"/>
  <c r="B156" i="8"/>
  <c r="E156" i="8"/>
  <c r="C220" i="10"/>
  <c r="B220" i="10"/>
  <c r="A220" i="10"/>
  <c r="D220" i="8"/>
  <c r="C220" i="8"/>
  <c r="B220" i="8"/>
  <c r="E220" i="8"/>
  <c r="C284" i="10"/>
  <c r="B284" i="10"/>
  <c r="A284" i="10"/>
  <c r="D284" i="8"/>
  <c r="C284" i="8"/>
  <c r="B284" i="8"/>
  <c r="E284" i="8"/>
  <c r="A187" i="10"/>
  <c r="C187" i="10"/>
  <c r="B187" i="10"/>
  <c r="C187" i="8"/>
  <c r="B187" i="8"/>
  <c r="E187" i="8"/>
  <c r="D187" i="8"/>
  <c r="A251" i="10"/>
  <c r="C251" i="10"/>
  <c r="B251" i="10"/>
  <c r="C251" i="8"/>
  <c r="B251" i="8"/>
  <c r="E251" i="8"/>
  <c r="D251" i="8"/>
  <c r="C154" i="10"/>
  <c r="B154" i="10"/>
  <c r="A154" i="10"/>
  <c r="B154" i="8"/>
  <c r="D154" i="8"/>
  <c r="C154" i="8"/>
  <c r="E154" i="8"/>
  <c r="C218" i="10"/>
  <c r="B218" i="10"/>
  <c r="A218" i="10"/>
  <c r="B218" i="8"/>
  <c r="D218" i="8"/>
  <c r="C218" i="8"/>
  <c r="E218" i="8"/>
  <c r="C282" i="10"/>
  <c r="B282" i="10"/>
  <c r="A282" i="10"/>
  <c r="B282" i="8"/>
  <c r="D282" i="8"/>
  <c r="C282" i="8"/>
  <c r="E282" i="8"/>
  <c r="C185" i="10"/>
  <c r="B185" i="10"/>
  <c r="A185" i="10"/>
  <c r="C185" i="8"/>
  <c r="B185" i="8"/>
  <c r="E185" i="8"/>
  <c r="D185" i="8"/>
  <c r="C249" i="10"/>
  <c r="B249" i="10"/>
  <c r="A249" i="10"/>
  <c r="C249" i="8"/>
  <c r="B249" i="8"/>
  <c r="E249" i="8"/>
  <c r="D249" i="8"/>
  <c r="C173" i="10"/>
  <c r="B173" i="10"/>
  <c r="A173" i="10"/>
  <c r="E173" i="8"/>
  <c r="D173" i="8"/>
  <c r="C173" i="8"/>
  <c r="B173" i="8"/>
  <c r="C38" i="10"/>
  <c r="B38" i="10"/>
  <c r="A38" i="10"/>
  <c r="E38" i="8"/>
  <c r="D38" i="8"/>
  <c r="B38" i="8"/>
  <c r="C38" i="8"/>
  <c r="C30" i="10"/>
  <c r="B30" i="10"/>
  <c r="A30" i="10"/>
  <c r="E30" i="8"/>
  <c r="D30" i="8"/>
  <c r="B30" i="8"/>
  <c r="C30" i="8"/>
  <c r="C22" i="10"/>
  <c r="B22" i="10"/>
  <c r="A22" i="10"/>
  <c r="E22" i="8"/>
  <c r="D22" i="8"/>
  <c r="B22" i="8"/>
  <c r="C22" i="8"/>
  <c r="B7" i="10"/>
  <c r="E7" i="8"/>
  <c r="C7" i="8"/>
  <c r="B7" i="8"/>
  <c r="A7" i="10" s="1"/>
  <c r="D7" i="8"/>
  <c r="C71" i="10"/>
  <c r="B71" i="10"/>
  <c r="A71" i="10"/>
  <c r="E71" i="8"/>
  <c r="C71" i="8"/>
  <c r="B71" i="8"/>
  <c r="D71" i="8"/>
  <c r="C135" i="10"/>
  <c r="B135" i="10"/>
  <c r="A135" i="10"/>
  <c r="E135" i="8"/>
  <c r="C135" i="8"/>
  <c r="B135" i="8"/>
  <c r="D135" i="8"/>
  <c r="C70" i="10"/>
  <c r="B70" i="10"/>
  <c r="A70" i="10"/>
  <c r="E70" i="8"/>
  <c r="D70" i="8"/>
  <c r="B70" i="8"/>
  <c r="C70" i="8"/>
  <c r="C134" i="10"/>
  <c r="B134" i="10"/>
  <c r="A134" i="10"/>
  <c r="E134" i="8"/>
  <c r="D134" i="8"/>
  <c r="B134" i="8"/>
  <c r="C134" i="8"/>
  <c r="C37" i="10"/>
  <c r="B37" i="10"/>
  <c r="A37" i="10"/>
  <c r="E37" i="8"/>
  <c r="D37" i="8"/>
  <c r="C37" i="8"/>
  <c r="B37" i="8"/>
  <c r="C101" i="10"/>
  <c r="B101" i="10"/>
  <c r="A101" i="10"/>
  <c r="E101" i="8"/>
  <c r="D101" i="8"/>
  <c r="C101" i="8"/>
  <c r="B101" i="8"/>
  <c r="C246" i="10"/>
  <c r="B246" i="10"/>
  <c r="A246" i="10"/>
  <c r="E246" i="8"/>
  <c r="D246" i="8"/>
  <c r="C246" i="8"/>
  <c r="B246" i="8"/>
  <c r="A51" i="10"/>
  <c r="C51" i="10"/>
  <c r="B51" i="10"/>
  <c r="D51" i="8"/>
  <c r="C51" i="8"/>
  <c r="B51" i="8"/>
  <c r="E51" i="8"/>
  <c r="A115" i="10"/>
  <c r="C115" i="10"/>
  <c r="B115" i="10"/>
  <c r="D115" i="8"/>
  <c r="C115" i="8"/>
  <c r="B115" i="8"/>
  <c r="E115" i="8"/>
  <c r="C270" i="10"/>
  <c r="B270" i="10"/>
  <c r="A270" i="10"/>
  <c r="E270" i="8"/>
  <c r="D270" i="8"/>
  <c r="C270" i="8"/>
  <c r="B270" i="8"/>
  <c r="C58" i="10"/>
  <c r="B58" i="10"/>
  <c r="A58" i="10"/>
  <c r="C58" i="8"/>
  <c r="B58" i="8"/>
  <c r="E58" i="8"/>
  <c r="D58" i="8"/>
  <c r="C122" i="10"/>
  <c r="B122" i="10"/>
  <c r="A122" i="10"/>
  <c r="C122" i="8"/>
  <c r="B122" i="8"/>
  <c r="E122" i="8"/>
  <c r="D122" i="8"/>
  <c r="B9" i="10"/>
  <c r="B9" i="8"/>
  <c r="A9" i="10" s="1"/>
  <c r="C9" i="8"/>
  <c r="E9" i="8"/>
  <c r="D9" i="8"/>
  <c r="C73" i="10"/>
  <c r="B73" i="10"/>
  <c r="A73" i="10"/>
  <c r="B73" i="8"/>
  <c r="E73" i="8"/>
  <c r="D73" i="8"/>
  <c r="C73" i="8"/>
  <c r="C137" i="10"/>
  <c r="B137" i="10"/>
  <c r="A137" i="10"/>
  <c r="B137" i="8"/>
  <c r="E137" i="8"/>
  <c r="D137" i="8"/>
  <c r="C137" i="8"/>
  <c r="B16" i="10"/>
  <c r="A16" i="10"/>
  <c r="C16" i="10"/>
  <c r="D16" i="8"/>
  <c r="B16" i="8"/>
  <c r="E16" i="8"/>
  <c r="C16" i="8"/>
  <c r="B80" i="10"/>
  <c r="A80" i="10"/>
  <c r="C80" i="10"/>
  <c r="D80" i="8"/>
  <c r="C80" i="8"/>
  <c r="B80" i="8"/>
  <c r="E80" i="8"/>
  <c r="C141" i="10"/>
  <c r="B141" i="10"/>
  <c r="A141" i="10"/>
  <c r="E141" i="8"/>
  <c r="D141" i="8"/>
  <c r="C141" i="8"/>
  <c r="B141" i="8"/>
  <c r="B160" i="10"/>
  <c r="A160" i="10"/>
  <c r="C160" i="10"/>
  <c r="E160" i="8"/>
  <c r="B160" i="8"/>
  <c r="D160" i="8"/>
  <c r="C160" i="8"/>
  <c r="B224" i="10"/>
  <c r="A224" i="10"/>
  <c r="C224" i="10"/>
  <c r="E224" i="8"/>
  <c r="B224" i="8"/>
  <c r="D224" i="8"/>
  <c r="C224" i="8"/>
  <c r="B288" i="10"/>
  <c r="A288" i="10"/>
  <c r="C288" i="10"/>
  <c r="E288" i="8"/>
  <c r="B288" i="8"/>
  <c r="D288" i="8"/>
  <c r="C288" i="8"/>
  <c r="C191" i="10"/>
  <c r="B191" i="10"/>
  <c r="A191" i="10"/>
  <c r="E191" i="8"/>
  <c r="D191" i="8"/>
  <c r="B191" i="8"/>
  <c r="C191" i="8"/>
  <c r="C255" i="10"/>
  <c r="B255" i="10"/>
  <c r="A255" i="10"/>
  <c r="E255" i="8"/>
  <c r="D255" i="8"/>
  <c r="B255" i="8"/>
  <c r="C255" i="8"/>
  <c r="C164" i="10"/>
  <c r="B164" i="10"/>
  <c r="A164" i="10"/>
  <c r="D164" i="8"/>
  <c r="C164" i="8"/>
  <c r="B164" i="8"/>
  <c r="E164" i="8"/>
  <c r="C228" i="10"/>
  <c r="B228" i="10"/>
  <c r="A228" i="10"/>
  <c r="D228" i="8"/>
  <c r="C228" i="8"/>
  <c r="B228" i="8"/>
  <c r="E228" i="8"/>
  <c r="C292" i="10"/>
  <c r="B292" i="10"/>
  <c r="A292" i="10"/>
  <c r="D292" i="8"/>
  <c r="C292" i="8"/>
  <c r="B292" i="8"/>
  <c r="E292" i="8"/>
  <c r="A195" i="10"/>
  <c r="C195" i="10"/>
  <c r="B195" i="10"/>
  <c r="C195" i="8"/>
  <c r="B195" i="8"/>
  <c r="E195" i="8"/>
  <c r="D195" i="8"/>
  <c r="A259" i="10"/>
  <c r="C259" i="10"/>
  <c r="B259" i="10"/>
  <c r="C259" i="8"/>
  <c r="B259" i="8"/>
  <c r="E259" i="8"/>
  <c r="D259" i="8"/>
  <c r="C162" i="10"/>
  <c r="B162" i="10"/>
  <c r="A162" i="10"/>
  <c r="B162" i="8"/>
  <c r="D162" i="8"/>
  <c r="C162" i="8"/>
  <c r="E162" i="8"/>
  <c r="C226" i="10"/>
  <c r="B226" i="10"/>
  <c r="A226" i="10"/>
  <c r="B226" i="8"/>
  <c r="D226" i="8"/>
  <c r="C226" i="8"/>
  <c r="E226" i="8"/>
  <c r="C290" i="10"/>
  <c r="B290" i="10"/>
  <c r="A290" i="10"/>
  <c r="B290" i="8"/>
  <c r="D290" i="8"/>
  <c r="C290" i="8"/>
  <c r="E290" i="8"/>
  <c r="C193" i="10"/>
  <c r="B193" i="10"/>
  <c r="A193" i="10"/>
  <c r="C193" i="8"/>
  <c r="B193" i="8"/>
  <c r="E193" i="8"/>
  <c r="D193" i="8"/>
  <c r="C257" i="10"/>
  <c r="B257" i="10"/>
  <c r="A257" i="10"/>
  <c r="C257" i="8"/>
  <c r="B257" i="8"/>
  <c r="E257" i="8"/>
  <c r="D257" i="8"/>
  <c r="C52" i="10"/>
  <c r="B52" i="10"/>
  <c r="A52" i="10"/>
  <c r="E52" i="8"/>
  <c r="D52" i="8"/>
  <c r="C52" i="8"/>
  <c r="B52" i="8"/>
  <c r="C100" i="10"/>
  <c r="B100" i="10"/>
  <c r="A100" i="10"/>
  <c r="E100" i="8"/>
  <c r="D100" i="8"/>
  <c r="C100" i="8"/>
  <c r="B100" i="8"/>
  <c r="C84" i="10"/>
  <c r="B84" i="10"/>
  <c r="A84" i="10"/>
  <c r="E84" i="8"/>
  <c r="D84" i="8"/>
  <c r="C84" i="8"/>
  <c r="B84" i="8"/>
  <c r="C15" i="10"/>
  <c r="B15" i="10"/>
  <c r="A15" i="10"/>
  <c r="E15" i="8"/>
  <c r="C15" i="8"/>
  <c r="D15" i="8"/>
  <c r="B15" i="8"/>
  <c r="C79" i="10"/>
  <c r="B79" i="10"/>
  <c r="A79" i="10"/>
  <c r="E79" i="8"/>
  <c r="C79" i="8"/>
  <c r="B79" i="8"/>
  <c r="D79" i="8"/>
  <c r="C158" i="10"/>
  <c r="B158" i="10"/>
  <c r="A158" i="10"/>
  <c r="E158" i="8"/>
  <c r="D158" i="8"/>
  <c r="C158" i="8"/>
  <c r="B158" i="8"/>
  <c r="C78" i="10"/>
  <c r="B78" i="10"/>
  <c r="A78" i="10"/>
  <c r="E78" i="8"/>
  <c r="D78" i="8"/>
  <c r="B78" i="8"/>
  <c r="C78" i="8"/>
  <c r="C142" i="10"/>
  <c r="B142" i="10"/>
  <c r="A142" i="10"/>
  <c r="E142" i="8"/>
  <c r="D142" i="8"/>
  <c r="B142" i="8"/>
  <c r="C142" i="8"/>
  <c r="C45" i="10"/>
  <c r="B45" i="10"/>
  <c r="A45" i="10"/>
  <c r="E45" i="8"/>
  <c r="D45" i="8"/>
  <c r="C45" i="8"/>
  <c r="B45" i="8"/>
  <c r="C109" i="10"/>
  <c r="B109" i="10"/>
  <c r="A109" i="10"/>
  <c r="E109" i="8"/>
  <c r="D109" i="8"/>
  <c r="C109" i="8"/>
  <c r="B109" i="8"/>
  <c r="C278" i="10"/>
  <c r="B278" i="10"/>
  <c r="A278" i="10"/>
  <c r="E278" i="8"/>
  <c r="D278" i="8"/>
  <c r="C278" i="8"/>
  <c r="B278" i="8"/>
  <c r="A59" i="10"/>
  <c r="C59" i="10"/>
  <c r="B59" i="10"/>
  <c r="D59" i="8"/>
  <c r="C59" i="8"/>
  <c r="B59" i="8"/>
  <c r="E59" i="8"/>
  <c r="A123" i="10"/>
  <c r="C123" i="10"/>
  <c r="B123" i="10"/>
  <c r="D123" i="8"/>
  <c r="C123" i="8"/>
  <c r="B123" i="8"/>
  <c r="E123" i="8"/>
  <c r="B2" i="10"/>
  <c r="C2" i="8"/>
  <c r="B2" i="8"/>
  <c r="A2" i="10" s="1"/>
  <c r="D2" i="8"/>
  <c r="E2" i="8"/>
  <c r="C66" i="10"/>
  <c r="B66" i="10"/>
  <c r="A66" i="10"/>
  <c r="C66" i="8"/>
  <c r="B66" i="8"/>
  <c r="E66" i="8"/>
  <c r="D66" i="8"/>
  <c r="C130" i="10"/>
  <c r="B130" i="10"/>
  <c r="A130" i="10"/>
  <c r="C130" i="8"/>
  <c r="B130" i="8"/>
  <c r="E130" i="8"/>
  <c r="D130" i="8"/>
  <c r="C17" i="10"/>
  <c r="B17" i="10"/>
  <c r="A17" i="10"/>
  <c r="B17" i="8"/>
  <c r="E17" i="8"/>
  <c r="C17" i="8"/>
  <c r="D17" i="8"/>
  <c r="C81" i="10"/>
  <c r="B81" i="10"/>
  <c r="A81" i="10"/>
  <c r="B81" i="8"/>
  <c r="E81" i="8"/>
  <c r="D81" i="8"/>
  <c r="C81" i="8"/>
  <c r="C150" i="10"/>
  <c r="B150" i="10"/>
  <c r="A150" i="10"/>
  <c r="E150" i="8"/>
  <c r="D150" i="8"/>
  <c r="B150" i="8"/>
  <c r="C150" i="8"/>
  <c r="B24" i="10"/>
  <c r="A24" i="10"/>
  <c r="C24" i="10"/>
  <c r="D24" i="8"/>
  <c r="B24" i="8"/>
  <c r="E24" i="8"/>
  <c r="C24" i="8"/>
  <c r="B88" i="10"/>
  <c r="A88" i="10"/>
  <c r="C88" i="10"/>
  <c r="D88" i="8"/>
  <c r="C88" i="8"/>
  <c r="B88" i="8"/>
  <c r="E88" i="8"/>
  <c r="C157" i="10"/>
  <c r="B157" i="10"/>
  <c r="A157" i="10"/>
  <c r="E157" i="8"/>
  <c r="D157" i="8"/>
  <c r="C157" i="8"/>
  <c r="B157" i="8"/>
  <c r="B168" i="10"/>
  <c r="A168" i="10"/>
  <c r="C168" i="10"/>
  <c r="E168" i="8"/>
  <c r="B168" i="8"/>
  <c r="C168" i="8"/>
  <c r="D168" i="8"/>
  <c r="B232" i="10"/>
  <c r="A232" i="10"/>
  <c r="C232" i="10"/>
  <c r="E232" i="8"/>
  <c r="B232" i="8"/>
  <c r="C232" i="8"/>
  <c r="D232" i="8"/>
  <c r="B296" i="10"/>
  <c r="A296" i="10"/>
  <c r="C296" i="10"/>
  <c r="E296" i="8"/>
  <c r="B296" i="8"/>
  <c r="C296" i="8"/>
  <c r="D296" i="8"/>
  <c r="C199" i="10"/>
  <c r="B199" i="10"/>
  <c r="A199" i="10"/>
  <c r="E199" i="8"/>
  <c r="D199" i="8"/>
  <c r="C199" i="8"/>
  <c r="B199" i="8"/>
  <c r="C263" i="10"/>
  <c r="B263" i="10"/>
  <c r="A263" i="10"/>
  <c r="E263" i="8"/>
  <c r="D263" i="8"/>
  <c r="C263" i="8"/>
  <c r="B263" i="8"/>
  <c r="C172" i="10"/>
  <c r="B172" i="10"/>
  <c r="A172" i="10"/>
  <c r="D172" i="8"/>
  <c r="C172" i="8"/>
  <c r="B172" i="8"/>
  <c r="E172" i="8"/>
  <c r="C236" i="10"/>
  <c r="B236" i="10"/>
  <c r="A236" i="10"/>
  <c r="D236" i="8"/>
  <c r="C236" i="8"/>
  <c r="B236" i="8"/>
  <c r="E236" i="8"/>
  <c r="C300" i="10"/>
  <c r="B300" i="10"/>
  <c r="A300" i="10"/>
  <c r="D300" i="8"/>
  <c r="C300" i="8"/>
  <c r="B300" i="8"/>
  <c r="E300" i="8"/>
  <c r="A203" i="10"/>
  <c r="C203" i="10"/>
  <c r="B203" i="10"/>
  <c r="C203" i="8"/>
  <c r="B203" i="8"/>
  <c r="E203" i="8"/>
  <c r="D203" i="8"/>
  <c r="A267" i="10"/>
  <c r="C267" i="10"/>
  <c r="B267" i="10"/>
  <c r="C267" i="8"/>
  <c r="B267" i="8"/>
  <c r="E267" i="8"/>
  <c r="D267" i="8"/>
  <c r="C170" i="10"/>
  <c r="B170" i="10"/>
  <c r="A170" i="10"/>
  <c r="B170" i="8"/>
  <c r="D170" i="8"/>
  <c r="C170" i="8"/>
  <c r="E170" i="8"/>
  <c r="C234" i="10"/>
  <c r="B234" i="10"/>
  <c r="A234" i="10"/>
  <c r="B234" i="8"/>
  <c r="D234" i="8"/>
  <c r="C234" i="8"/>
  <c r="E234" i="8"/>
  <c r="C298" i="10"/>
  <c r="B298" i="10"/>
  <c r="A298" i="10"/>
  <c r="B298" i="8"/>
  <c r="D298" i="8"/>
  <c r="C298" i="8"/>
  <c r="E298" i="8"/>
  <c r="C201" i="10"/>
  <c r="B201" i="10"/>
  <c r="A201" i="10"/>
  <c r="C201" i="8"/>
  <c r="B201" i="8"/>
  <c r="E201" i="8"/>
  <c r="D201" i="8"/>
  <c r="C265" i="10"/>
  <c r="B265" i="10"/>
  <c r="A265" i="10"/>
  <c r="C265" i="8"/>
  <c r="B265" i="8"/>
  <c r="E265" i="8"/>
  <c r="D265" i="8"/>
  <c r="C116" i="10"/>
  <c r="B116" i="10"/>
  <c r="A116" i="10"/>
  <c r="E116" i="8"/>
  <c r="D116" i="8"/>
  <c r="C116" i="8"/>
  <c r="B116" i="8"/>
  <c r="C237" i="10"/>
  <c r="B237" i="10"/>
  <c r="A237" i="10"/>
  <c r="E237" i="8"/>
  <c r="D237" i="8"/>
  <c r="C237" i="8"/>
  <c r="B237" i="8"/>
  <c r="C23" i="10"/>
  <c r="B23" i="10"/>
  <c r="A23" i="10"/>
  <c r="E23" i="8"/>
  <c r="C23" i="8"/>
  <c r="D23" i="8"/>
  <c r="B23" i="8"/>
  <c r="C87" i="10"/>
  <c r="B87" i="10"/>
  <c r="A87" i="10"/>
  <c r="E87" i="8"/>
  <c r="C87" i="8"/>
  <c r="B87" i="8"/>
  <c r="D87" i="8"/>
  <c r="C190" i="10"/>
  <c r="B190" i="10"/>
  <c r="A190" i="10"/>
  <c r="E190" i="8"/>
  <c r="D190" i="8"/>
  <c r="C190" i="8"/>
  <c r="B190" i="8"/>
  <c r="C86" i="10"/>
  <c r="B86" i="10"/>
  <c r="A86" i="10"/>
  <c r="E86" i="8"/>
  <c r="D86" i="8"/>
  <c r="B86" i="8"/>
  <c r="C86" i="8"/>
  <c r="C181" i="10"/>
  <c r="B181" i="10"/>
  <c r="A181" i="10"/>
  <c r="E181" i="8"/>
  <c r="D181" i="8"/>
  <c r="C181" i="8"/>
  <c r="B181" i="8"/>
  <c r="C53" i="10"/>
  <c r="B53" i="10"/>
  <c r="A53" i="10"/>
  <c r="E53" i="8"/>
  <c r="D53" i="8"/>
  <c r="C53" i="8"/>
  <c r="B53" i="8"/>
  <c r="C117" i="10"/>
  <c r="B117" i="10"/>
  <c r="A117" i="10"/>
  <c r="E117" i="8"/>
  <c r="D117" i="8"/>
  <c r="C117" i="8"/>
  <c r="B117" i="8"/>
  <c r="B3" i="10"/>
  <c r="D3" i="8"/>
  <c r="C3" i="8"/>
  <c r="B3" i="8"/>
  <c r="A3" i="10" s="1"/>
  <c r="E3" i="8"/>
  <c r="A67" i="10"/>
  <c r="C67" i="10"/>
  <c r="B67" i="10"/>
  <c r="D67" i="8"/>
  <c r="C67" i="8"/>
  <c r="B67" i="8"/>
  <c r="E67" i="8"/>
  <c r="A131" i="10"/>
  <c r="C131" i="10"/>
  <c r="B131" i="10"/>
  <c r="D131" i="8"/>
  <c r="C131" i="8"/>
  <c r="B131" i="8"/>
  <c r="E131" i="8"/>
  <c r="B10" i="10"/>
  <c r="C10" i="8"/>
  <c r="B10" i="8"/>
  <c r="A10" i="10" s="1"/>
  <c r="D10" i="8"/>
  <c r="E10" i="8"/>
  <c r="C74" i="10"/>
  <c r="B74" i="10"/>
  <c r="A74" i="10"/>
  <c r="C74" i="8"/>
  <c r="B74" i="8"/>
  <c r="E74" i="8"/>
  <c r="D74" i="8"/>
  <c r="C138" i="10"/>
  <c r="B138" i="10"/>
  <c r="A138" i="10"/>
  <c r="C138" i="8"/>
  <c r="B138" i="8"/>
  <c r="E138" i="8"/>
  <c r="D138" i="8"/>
  <c r="C25" i="10"/>
  <c r="B25" i="10"/>
  <c r="A25" i="10"/>
  <c r="B25" i="8"/>
  <c r="E25" i="8"/>
  <c r="C25" i="8"/>
  <c r="D25" i="8"/>
  <c r="C89" i="10"/>
  <c r="B89" i="10"/>
  <c r="A89" i="10"/>
  <c r="B89" i="8"/>
  <c r="E89" i="8"/>
  <c r="D89" i="8"/>
  <c r="C89" i="8"/>
  <c r="C166" i="10"/>
  <c r="B166" i="10"/>
  <c r="A166" i="10"/>
  <c r="E166" i="8"/>
  <c r="D166" i="8"/>
  <c r="C166" i="8"/>
  <c r="B166" i="8"/>
  <c r="B32" i="10"/>
  <c r="A32" i="10"/>
  <c r="C32" i="10"/>
  <c r="D32" i="8"/>
  <c r="B32" i="8"/>
  <c r="E32" i="8"/>
  <c r="C32" i="8"/>
  <c r="B96" i="10"/>
  <c r="A96" i="10"/>
  <c r="C96" i="10"/>
  <c r="D96" i="8"/>
  <c r="C96" i="8"/>
  <c r="B96" i="8"/>
  <c r="E96" i="8"/>
  <c r="C189" i="10"/>
  <c r="B189" i="10"/>
  <c r="A189" i="10"/>
  <c r="E189" i="8"/>
  <c r="D189" i="8"/>
  <c r="C189" i="8"/>
  <c r="B189" i="8"/>
  <c r="B176" i="10"/>
  <c r="A176" i="10"/>
  <c r="C176" i="10"/>
  <c r="E176" i="8"/>
  <c r="B176" i="8"/>
  <c r="D176" i="8"/>
  <c r="C176" i="8"/>
  <c r="B240" i="10"/>
  <c r="A240" i="10"/>
  <c r="C240" i="10"/>
  <c r="E240" i="8"/>
  <c r="B240" i="8"/>
  <c r="D240" i="8"/>
  <c r="C240" i="8"/>
  <c r="C143" i="10"/>
  <c r="B143" i="10"/>
  <c r="A143" i="10"/>
  <c r="E143" i="8"/>
  <c r="D143" i="8"/>
  <c r="C143" i="8"/>
  <c r="B143" i="8"/>
  <c r="C207" i="10"/>
  <c r="B207" i="10"/>
  <c r="A207" i="10"/>
  <c r="E207" i="8"/>
  <c r="D207" i="8"/>
  <c r="C207" i="8"/>
  <c r="B207" i="8"/>
  <c r="C271" i="10"/>
  <c r="B271" i="10"/>
  <c r="A271" i="10"/>
  <c r="E271" i="8"/>
  <c r="D271" i="8"/>
  <c r="C271" i="8"/>
  <c r="B271" i="8"/>
  <c r="C180" i="10"/>
  <c r="B180" i="10"/>
  <c r="A180" i="10"/>
  <c r="D180" i="8"/>
  <c r="C180" i="8"/>
  <c r="B180" i="8"/>
  <c r="E180" i="8"/>
  <c r="C244" i="10"/>
  <c r="B244" i="10"/>
  <c r="A244" i="10"/>
  <c r="D244" i="8"/>
  <c r="C244" i="8"/>
  <c r="B244" i="8"/>
  <c r="E244" i="8"/>
  <c r="A147" i="10"/>
  <c r="C147" i="10"/>
  <c r="B147" i="10"/>
  <c r="C147" i="8"/>
  <c r="B147" i="8"/>
  <c r="E147" i="8"/>
  <c r="D147" i="8"/>
  <c r="A211" i="10"/>
  <c r="C211" i="10"/>
  <c r="B211" i="10"/>
  <c r="C211" i="8"/>
  <c r="B211" i="8"/>
  <c r="E211" i="8"/>
  <c r="D211" i="8"/>
  <c r="A275" i="10"/>
  <c r="C275" i="10"/>
  <c r="B275" i="10"/>
  <c r="C275" i="8"/>
  <c r="B275" i="8"/>
  <c r="E275" i="8"/>
  <c r="D275" i="8"/>
  <c r="C178" i="10"/>
  <c r="B178" i="10"/>
  <c r="A178" i="10"/>
  <c r="B178" i="8"/>
  <c r="D178" i="8"/>
  <c r="C178" i="8"/>
  <c r="E178" i="8"/>
  <c r="C242" i="10"/>
  <c r="B242" i="10"/>
  <c r="A242" i="10"/>
  <c r="B242" i="8"/>
  <c r="D242" i="8"/>
  <c r="C242" i="8"/>
  <c r="E242" i="8"/>
  <c r="C145" i="10"/>
  <c r="B145" i="10"/>
  <c r="A145" i="10"/>
  <c r="C145" i="8"/>
  <c r="B145" i="8"/>
  <c r="D145" i="8"/>
  <c r="E145" i="8"/>
  <c r="C209" i="10"/>
  <c r="B209" i="10"/>
  <c r="A209" i="10"/>
  <c r="C209" i="8"/>
  <c r="B209" i="8"/>
  <c r="D209" i="8"/>
  <c r="E209" i="8"/>
  <c r="C273" i="10"/>
  <c r="B273" i="10"/>
  <c r="A273" i="10"/>
  <c r="C273" i="8"/>
  <c r="B273" i="8"/>
  <c r="D273" i="8"/>
  <c r="E273" i="8"/>
  <c r="B4" i="10"/>
  <c r="E4" i="8"/>
  <c r="D4" i="8"/>
  <c r="C4" i="8"/>
  <c r="B4" i="8"/>
  <c r="A4" i="10" s="1"/>
  <c r="C31" i="10"/>
  <c r="B31" i="10"/>
  <c r="A31" i="10"/>
  <c r="E31" i="8"/>
  <c r="C31" i="8"/>
  <c r="D31" i="8"/>
  <c r="B31" i="8"/>
  <c r="C95" i="10"/>
  <c r="B95" i="10"/>
  <c r="A95" i="10"/>
  <c r="E95" i="8"/>
  <c r="C95" i="8"/>
  <c r="B95" i="8"/>
  <c r="D95" i="8"/>
  <c r="C222" i="10"/>
  <c r="B222" i="10"/>
  <c r="A222" i="10"/>
  <c r="E222" i="8"/>
  <c r="D222" i="8"/>
  <c r="C222" i="8"/>
  <c r="B222" i="8"/>
  <c r="C94" i="10"/>
  <c r="B94" i="10"/>
  <c r="A94" i="10"/>
  <c r="E94" i="8"/>
  <c r="D94" i="8"/>
  <c r="B94" i="8"/>
  <c r="C94" i="8"/>
  <c r="C213" i="10"/>
  <c r="B213" i="10"/>
  <c r="A213" i="10"/>
  <c r="E213" i="8"/>
  <c r="D213" i="8"/>
  <c r="C213" i="8"/>
  <c r="B213" i="8"/>
  <c r="C61" i="10"/>
  <c r="B61" i="10"/>
  <c r="A61" i="10"/>
  <c r="E61" i="8"/>
  <c r="D61" i="8"/>
  <c r="C61" i="8"/>
  <c r="B61" i="8"/>
  <c r="C125" i="10"/>
  <c r="B125" i="10"/>
  <c r="A125" i="10"/>
  <c r="E125" i="8"/>
  <c r="D125" i="8"/>
  <c r="C125" i="8"/>
  <c r="B125" i="8"/>
  <c r="B11" i="10"/>
  <c r="D11" i="8"/>
  <c r="C11" i="8"/>
  <c r="B11" i="8"/>
  <c r="A11" i="10" s="1"/>
  <c r="E11" i="8"/>
  <c r="C75" i="10"/>
  <c r="B75" i="10"/>
  <c r="A75" i="10"/>
  <c r="D75" i="8"/>
  <c r="C75" i="8"/>
  <c r="B75" i="8"/>
  <c r="E75" i="8"/>
  <c r="A139" i="10"/>
  <c r="C139" i="10"/>
  <c r="B139" i="10"/>
  <c r="D139" i="8"/>
  <c r="C139" i="8"/>
  <c r="B139" i="8"/>
  <c r="E139" i="8"/>
  <c r="C18" i="10"/>
  <c r="B18" i="10"/>
  <c r="A18" i="10"/>
  <c r="C18" i="8"/>
  <c r="B18" i="8"/>
  <c r="D18" i="8"/>
  <c r="E18" i="8"/>
  <c r="C82" i="10"/>
  <c r="B82" i="10"/>
  <c r="A82" i="10"/>
  <c r="C82" i="8"/>
  <c r="B82" i="8"/>
  <c r="E82" i="8"/>
  <c r="D82" i="8"/>
  <c r="C165" i="10"/>
  <c r="B165" i="10"/>
  <c r="A165" i="10"/>
  <c r="E165" i="8"/>
  <c r="D165" i="8"/>
  <c r="C165" i="8"/>
  <c r="B165" i="8"/>
  <c r="C33" i="10"/>
  <c r="B33" i="10"/>
  <c r="A33" i="10"/>
  <c r="B33" i="8"/>
  <c r="E33" i="8"/>
  <c r="C33" i="8"/>
  <c r="D33" i="8"/>
  <c r="C97" i="10"/>
  <c r="B97" i="10"/>
  <c r="A97" i="10"/>
  <c r="B97" i="8"/>
  <c r="E97" i="8"/>
  <c r="D97" i="8"/>
  <c r="C97" i="8"/>
  <c r="C198" i="10"/>
  <c r="B198" i="10"/>
  <c r="A198" i="10"/>
  <c r="E198" i="8"/>
  <c r="D198" i="8"/>
  <c r="C198" i="8"/>
  <c r="B198" i="8"/>
  <c r="B40" i="10"/>
  <c r="A40" i="10"/>
  <c r="C40" i="10"/>
  <c r="D40" i="8"/>
  <c r="B40" i="8"/>
  <c r="E40" i="8"/>
  <c r="C40" i="8"/>
  <c r="B104" i="10"/>
  <c r="A104" i="10"/>
  <c r="C104" i="10"/>
  <c r="D104" i="8"/>
  <c r="C104" i="8"/>
  <c r="B104" i="8"/>
  <c r="E104" i="8"/>
  <c r="C221" i="10"/>
  <c r="B221" i="10"/>
  <c r="A221" i="10"/>
  <c r="E221" i="8"/>
  <c r="D221" i="8"/>
  <c r="C221" i="8"/>
  <c r="B221" i="8"/>
  <c r="B184" i="10"/>
  <c r="A184" i="10"/>
  <c r="C184" i="10"/>
  <c r="E184" i="8"/>
  <c r="B184" i="8"/>
  <c r="D184" i="8"/>
  <c r="C184" i="8"/>
  <c r="B248" i="10"/>
  <c r="A248" i="10"/>
  <c r="C248" i="10"/>
  <c r="E248" i="8"/>
  <c r="B248" i="8"/>
  <c r="D248" i="8"/>
  <c r="C248" i="8"/>
  <c r="C151" i="10"/>
  <c r="B151" i="10"/>
  <c r="A151" i="10"/>
  <c r="E151" i="8"/>
  <c r="C151" i="8"/>
  <c r="B151" i="8"/>
  <c r="D151" i="8"/>
  <c r="C215" i="10"/>
  <c r="B215" i="10"/>
  <c r="A215" i="10"/>
  <c r="E215" i="8"/>
  <c r="D215" i="8"/>
  <c r="C215" i="8"/>
  <c r="B215" i="8"/>
  <c r="C279" i="10"/>
  <c r="B279" i="10"/>
  <c r="A279" i="10"/>
  <c r="E279" i="8"/>
  <c r="D279" i="8"/>
  <c r="C279" i="8"/>
  <c r="B279" i="8"/>
  <c r="C188" i="10"/>
  <c r="B188" i="10"/>
  <c r="A188" i="10"/>
  <c r="D188" i="8"/>
  <c r="C188" i="8"/>
  <c r="B188" i="8"/>
  <c r="E188" i="8"/>
  <c r="C252" i="10"/>
  <c r="B252" i="10"/>
  <c r="A252" i="10"/>
  <c r="D252" i="8"/>
  <c r="C252" i="8"/>
  <c r="B252" i="8"/>
  <c r="E252" i="8"/>
  <c r="A155" i="10"/>
  <c r="C155" i="10"/>
  <c r="B155" i="10"/>
  <c r="C155" i="8"/>
  <c r="B155" i="8"/>
  <c r="E155" i="8"/>
  <c r="D155" i="8"/>
  <c r="A219" i="10"/>
  <c r="C219" i="10"/>
  <c r="B219" i="10"/>
  <c r="C219" i="8"/>
  <c r="B219" i="8"/>
  <c r="E219" i="8"/>
  <c r="D219" i="8"/>
  <c r="A283" i="10"/>
  <c r="C283" i="10"/>
  <c r="B283" i="10"/>
  <c r="C283" i="8"/>
  <c r="B283" i="8"/>
  <c r="E283" i="8"/>
  <c r="D283" i="8"/>
  <c r="C186" i="10"/>
  <c r="B186" i="10"/>
  <c r="A186" i="10"/>
  <c r="B186" i="8"/>
  <c r="D186" i="8"/>
  <c r="C186" i="8"/>
  <c r="E186" i="8"/>
  <c r="C250" i="10"/>
  <c r="B250" i="10"/>
  <c r="A250" i="10"/>
  <c r="B250" i="8"/>
  <c r="D250" i="8"/>
  <c r="C250" i="8"/>
  <c r="E250" i="8"/>
  <c r="C153" i="10"/>
  <c r="B153" i="10"/>
  <c r="A153" i="10"/>
  <c r="C153" i="8"/>
  <c r="B153" i="8"/>
  <c r="D153" i="8"/>
  <c r="E153" i="8"/>
  <c r="C217" i="10"/>
  <c r="B217" i="10"/>
  <c r="A217" i="10"/>
  <c r="C217" i="8"/>
  <c r="B217" i="8"/>
  <c r="E217" i="8"/>
  <c r="D217" i="8"/>
  <c r="C281" i="10"/>
  <c r="B281" i="10"/>
  <c r="A281" i="10"/>
  <c r="C281" i="8"/>
  <c r="B281" i="8"/>
  <c r="E281" i="8"/>
  <c r="D281" i="8"/>
  <c r="C14" i="10"/>
  <c r="B14" i="10"/>
  <c r="A14" i="10"/>
  <c r="E14" i="8"/>
  <c r="D14" i="8"/>
  <c r="B14" i="8"/>
  <c r="C14" i="8"/>
  <c r="B5" i="10"/>
  <c r="E5" i="8"/>
  <c r="D5" i="8"/>
  <c r="C5" i="8"/>
  <c r="B5" i="8"/>
  <c r="A5" i="10" s="1"/>
  <c r="B6" i="10"/>
  <c r="E6" i="8"/>
  <c r="D6" i="8"/>
  <c r="C6" i="8"/>
  <c r="B6" i="8"/>
  <c r="A6" i="10" s="1"/>
  <c r="C44" i="10"/>
  <c r="B44" i="10"/>
  <c r="A44" i="10"/>
  <c r="E44" i="8"/>
  <c r="D44" i="8"/>
  <c r="C44" i="8"/>
  <c r="B44" i="8"/>
  <c r="C36" i="10"/>
  <c r="B36" i="10"/>
  <c r="A36" i="10"/>
  <c r="E36" i="8"/>
  <c r="D36" i="8"/>
  <c r="C36" i="8"/>
  <c r="B36" i="8"/>
  <c r="C39" i="10"/>
  <c r="B39" i="10"/>
  <c r="A39" i="10"/>
  <c r="E39" i="8"/>
  <c r="C39" i="8"/>
  <c r="D39" i="8"/>
  <c r="B39" i="8"/>
  <c r="C103" i="10"/>
  <c r="B103" i="10"/>
  <c r="A103" i="10"/>
  <c r="E103" i="8"/>
  <c r="C103" i="8"/>
  <c r="B103" i="8"/>
  <c r="D103" i="8"/>
  <c r="C254" i="10"/>
  <c r="B254" i="10"/>
  <c r="A254" i="10"/>
  <c r="E254" i="8"/>
  <c r="D254" i="8"/>
  <c r="C254" i="8"/>
  <c r="B254" i="8"/>
  <c r="C102" i="10"/>
  <c r="B102" i="10"/>
  <c r="A102" i="10"/>
  <c r="E102" i="8"/>
  <c r="D102" i="8"/>
  <c r="B102" i="8"/>
  <c r="C102" i="8"/>
  <c r="C245" i="10"/>
  <c r="B245" i="10"/>
  <c r="A245" i="10"/>
  <c r="E245" i="8"/>
  <c r="D245" i="8"/>
  <c r="C245" i="8"/>
  <c r="B245" i="8"/>
  <c r="C69" i="10"/>
  <c r="B69" i="10"/>
  <c r="A69" i="10"/>
  <c r="E69" i="8"/>
  <c r="D69" i="8"/>
  <c r="C69" i="8"/>
  <c r="B69" i="8"/>
  <c r="C133" i="10"/>
  <c r="B133" i="10"/>
  <c r="A133" i="10"/>
  <c r="E133" i="8"/>
  <c r="D133" i="8"/>
  <c r="C133" i="8"/>
  <c r="B133" i="8"/>
  <c r="A19" i="10"/>
  <c r="C19" i="10"/>
  <c r="B19" i="10"/>
  <c r="D19" i="8"/>
  <c r="C19" i="8"/>
  <c r="B19" i="8"/>
  <c r="E19" i="8"/>
  <c r="A83" i="10"/>
  <c r="C83" i="10"/>
  <c r="B83" i="10"/>
  <c r="D83" i="8"/>
  <c r="C83" i="8"/>
  <c r="B83" i="8"/>
  <c r="E83" i="8"/>
  <c r="C149" i="10"/>
  <c r="B149" i="10"/>
  <c r="A149" i="10"/>
  <c r="E149" i="8"/>
  <c r="D149" i="8"/>
  <c r="C149" i="8"/>
  <c r="B149" i="8"/>
  <c r="C26" i="10"/>
  <c r="B26" i="10"/>
  <c r="A26" i="10"/>
  <c r="C26" i="8"/>
  <c r="B26" i="8"/>
  <c r="D26" i="8"/>
  <c r="E26" i="8"/>
  <c r="C90" i="10"/>
  <c r="B90" i="10"/>
  <c r="A90" i="10"/>
  <c r="C90" i="8"/>
  <c r="B90" i="8"/>
  <c r="E90" i="8"/>
  <c r="D90" i="8"/>
  <c r="C197" i="10"/>
  <c r="B197" i="10"/>
  <c r="A197" i="10"/>
  <c r="E197" i="8"/>
  <c r="D197" i="8"/>
  <c r="C197" i="8"/>
  <c r="B197" i="8"/>
  <c r="C41" i="10"/>
  <c r="B41" i="10"/>
  <c r="A41" i="10"/>
  <c r="B41" i="8"/>
  <c r="E41" i="8"/>
  <c r="C41" i="8"/>
  <c r="D41" i="8"/>
  <c r="C105" i="10"/>
  <c r="B105" i="10"/>
  <c r="A105" i="10"/>
  <c r="B105" i="8"/>
  <c r="E105" i="8"/>
  <c r="D105" i="8"/>
  <c r="C105" i="8"/>
  <c r="C230" i="10"/>
  <c r="B230" i="10"/>
  <c r="A230" i="10"/>
  <c r="E230" i="8"/>
  <c r="D230" i="8"/>
  <c r="C230" i="8"/>
  <c r="B230" i="8"/>
  <c r="B48" i="10"/>
  <c r="A48" i="10"/>
  <c r="C48" i="10"/>
  <c r="D48" i="8"/>
  <c r="B48" i="8"/>
  <c r="E48" i="8"/>
  <c r="C48" i="8"/>
  <c r="B112" i="10"/>
  <c r="A112" i="10"/>
  <c r="C112" i="10"/>
  <c r="D112" i="8"/>
  <c r="C112" i="8"/>
  <c r="B112" i="8"/>
  <c r="E112" i="8"/>
  <c r="C253" i="10"/>
  <c r="B253" i="10"/>
  <c r="A253" i="10"/>
  <c r="E253" i="8"/>
  <c r="D253" i="8"/>
  <c r="C253" i="8"/>
  <c r="B253" i="8"/>
  <c r="B192" i="10"/>
  <c r="A192" i="10"/>
  <c r="C192" i="10"/>
  <c r="E192" i="8"/>
  <c r="B192" i="8"/>
  <c r="D192" i="8"/>
  <c r="C192" i="8"/>
  <c r="B256" i="10"/>
  <c r="A256" i="10"/>
  <c r="C256" i="10"/>
  <c r="E256" i="8"/>
  <c r="B256" i="8"/>
  <c r="D256" i="8"/>
  <c r="C256" i="8"/>
  <c r="C159" i="10"/>
  <c r="B159" i="10"/>
  <c r="A159" i="10"/>
  <c r="E159" i="8"/>
  <c r="D159" i="8"/>
  <c r="B159" i="8"/>
  <c r="C159" i="8"/>
  <c r="C223" i="10"/>
  <c r="B223" i="10"/>
  <c r="A223" i="10"/>
  <c r="E223" i="8"/>
  <c r="D223" i="8"/>
  <c r="B223" i="8"/>
  <c r="C223" i="8"/>
  <c r="C287" i="10"/>
  <c r="B287" i="10"/>
  <c r="A287" i="10"/>
  <c r="E287" i="8"/>
  <c r="D287" i="8"/>
  <c r="B287" i="8"/>
  <c r="C287" i="8"/>
  <c r="C196" i="10"/>
  <c r="B196" i="10"/>
  <c r="A196" i="10"/>
  <c r="D196" i="8"/>
  <c r="C196" i="8"/>
  <c r="B196" i="8"/>
  <c r="E196" i="8"/>
  <c r="C260" i="10"/>
  <c r="B260" i="10"/>
  <c r="A260" i="10"/>
  <c r="D260" i="8"/>
  <c r="C260" i="8"/>
  <c r="B260" i="8"/>
  <c r="E260" i="8"/>
  <c r="A163" i="10"/>
  <c r="C163" i="10"/>
  <c r="B163" i="10"/>
  <c r="C163" i="8"/>
  <c r="B163" i="8"/>
  <c r="E163" i="8"/>
  <c r="D163" i="8"/>
  <c r="A227" i="10"/>
  <c r="C227" i="10"/>
  <c r="B227" i="10"/>
  <c r="C227" i="8"/>
  <c r="B227" i="8"/>
  <c r="E227" i="8"/>
  <c r="D227" i="8"/>
  <c r="A291" i="10"/>
  <c r="C291" i="10"/>
  <c r="B291" i="10"/>
  <c r="C291" i="8"/>
  <c r="B291" i="8"/>
  <c r="E291" i="8"/>
  <c r="D291" i="8"/>
  <c r="C194" i="10"/>
  <c r="B194" i="10"/>
  <c r="A194" i="10"/>
  <c r="B194" i="8"/>
  <c r="D194" i="8"/>
  <c r="C194" i="8"/>
  <c r="E194" i="8"/>
  <c r="C258" i="10"/>
  <c r="B258" i="10"/>
  <c r="A258" i="10"/>
  <c r="B258" i="8"/>
  <c r="D258" i="8"/>
  <c r="C258" i="8"/>
  <c r="E258" i="8"/>
  <c r="C161" i="10"/>
  <c r="B161" i="10"/>
  <c r="A161" i="10"/>
  <c r="C161" i="8"/>
  <c r="B161" i="8"/>
  <c r="E161" i="8"/>
  <c r="D161" i="8"/>
  <c r="C225" i="10"/>
  <c r="B225" i="10"/>
  <c r="A225" i="10"/>
  <c r="C225" i="8"/>
  <c r="B225" i="8"/>
  <c r="E225" i="8"/>
  <c r="D225" i="8"/>
  <c r="C289" i="10"/>
  <c r="B289" i="10"/>
  <c r="A289" i="10"/>
  <c r="C289" i="8"/>
  <c r="B289" i="8"/>
  <c r="E289" i="8"/>
  <c r="D289" i="8"/>
  <c r="C46" i="10"/>
  <c r="B46" i="10"/>
  <c r="A46" i="10"/>
  <c r="E46" i="8"/>
  <c r="D46" i="8"/>
  <c r="B46" i="8"/>
  <c r="C46" i="8"/>
  <c r="C28" i="10"/>
  <c r="B28" i="10"/>
  <c r="A28" i="10"/>
  <c r="E28" i="8"/>
  <c r="D28" i="8"/>
  <c r="C28" i="8"/>
  <c r="B28" i="8"/>
  <c r="C20" i="10"/>
  <c r="B20" i="10"/>
  <c r="A20" i="10"/>
  <c r="E20" i="8"/>
  <c r="D20" i="8"/>
  <c r="C20" i="8"/>
  <c r="B20" i="8"/>
  <c r="C92" i="10"/>
  <c r="B92" i="10"/>
  <c r="A92" i="10"/>
  <c r="E92" i="8"/>
  <c r="D92" i="8"/>
  <c r="C92" i="8"/>
  <c r="B92" i="8"/>
  <c r="C76" i="10"/>
  <c r="B76" i="10"/>
  <c r="A76" i="10"/>
  <c r="E76" i="8"/>
  <c r="D76" i="8"/>
  <c r="C76" i="8"/>
  <c r="B76" i="8"/>
  <c r="C47" i="10"/>
  <c r="B47" i="10"/>
  <c r="A47" i="10"/>
  <c r="E47" i="8"/>
  <c r="C47" i="8"/>
  <c r="D47" i="8"/>
  <c r="B47" i="8"/>
  <c r="C111" i="10"/>
  <c r="B111" i="10"/>
  <c r="A111" i="10"/>
  <c r="E111" i="8"/>
  <c r="C111" i="8"/>
  <c r="B111" i="8"/>
  <c r="D111" i="8"/>
  <c r="C286" i="10"/>
  <c r="B286" i="10"/>
  <c r="A286" i="10"/>
  <c r="E286" i="8"/>
  <c r="D286" i="8"/>
  <c r="C286" i="8"/>
  <c r="B286" i="8"/>
  <c r="C110" i="10"/>
  <c r="B110" i="10"/>
  <c r="A110" i="10"/>
  <c r="E110" i="8"/>
  <c r="D110" i="8"/>
  <c r="B110" i="8"/>
  <c r="C110" i="8"/>
  <c r="C277" i="10"/>
  <c r="B277" i="10"/>
  <c r="A277" i="10"/>
  <c r="E277" i="8"/>
  <c r="D277" i="8"/>
  <c r="C277" i="8"/>
  <c r="B277" i="8"/>
  <c r="C77" i="10"/>
  <c r="B77" i="10"/>
  <c r="A77" i="10"/>
  <c r="E77" i="8"/>
  <c r="D77" i="8"/>
  <c r="C77" i="8"/>
  <c r="B77" i="8"/>
  <c r="C148" i="10"/>
  <c r="B148" i="10"/>
  <c r="A148" i="10"/>
  <c r="D148" i="8"/>
  <c r="C148" i="8"/>
  <c r="B148" i="8"/>
  <c r="E148" i="8"/>
  <c r="A27" i="10"/>
  <c r="C27" i="10"/>
  <c r="B27" i="10"/>
  <c r="D27" i="8"/>
  <c r="C27" i="8"/>
  <c r="B27" i="8"/>
  <c r="E27" i="8"/>
  <c r="A91" i="10"/>
  <c r="C91" i="10"/>
  <c r="B91" i="10"/>
  <c r="D91" i="8"/>
  <c r="C91" i="8"/>
  <c r="B91" i="8"/>
  <c r="E91" i="8"/>
  <c r="C174" i="10"/>
  <c r="B174" i="10"/>
  <c r="A174" i="10"/>
  <c r="E174" i="8"/>
  <c r="D174" i="8"/>
  <c r="C174" i="8"/>
  <c r="B174" i="8"/>
  <c r="C34" i="10"/>
  <c r="B34" i="10"/>
  <c r="A34" i="10"/>
  <c r="C34" i="8"/>
  <c r="B34" i="8"/>
  <c r="D34" i="8"/>
  <c r="E34" i="8"/>
  <c r="C98" i="10"/>
  <c r="B98" i="10"/>
  <c r="A98" i="10"/>
  <c r="C98" i="8"/>
  <c r="B98" i="8"/>
  <c r="E98" i="8"/>
  <c r="D98" i="8"/>
  <c r="C229" i="10"/>
  <c r="B229" i="10"/>
  <c r="A229" i="10"/>
  <c r="E229" i="8"/>
  <c r="D229" i="8"/>
  <c r="C229" i="8"/>
  <c r="B229" i="8"/>
  <c r="C49" i="10"/>
  <c r="B49" i="10"/>
  <c r="A49" i="10"/>
  <c r="B49" i="8"/>
  <c r="E49" i="8"/>
  <c r="C49" i="8"/>
  <c r="D49" i="8"/>
  <c r="C113" i="10"/>
  <c r="B113" i="10"/>
  <c r="A113" i="10"/>
  <c r="B113" i="8"/>
  <c r="E113" i="8"/>
  <c r="D113" i="8"/>
  <c r="C113" i="8"/>
  <c r="C262" i="10"/>
  <c r="B262" i="10"/>
  <c r="A262" i="10"/>
  <c r="E262" i="8"/>
  <c r="D262" i="8"/>
  <c r="C262" i="8"/>
  <c r="B262" i="8"/>
  <c r="B56" i="10"/>
  <c r="A56" i="10"/>
  <c r="C56" i="10"/>
  <c r="D56" i="8"/>
  <c r="C56" i="8"/>
  <c r="B56" i="8"/>
  <c r="E56" i="8"/>
  <c r="B120" i="10"/>
  <c r="A120" i="10"/>
  <c r="C120" i="10"/>
  <c r="D120" i="8"/>
  <c r="C120" i="8"/>
  <c r="B120" i="8"/>
  <c r="E120" i="8"/>
  <c r="C285" i="10"/>
  <c r="B285" i="10"/>
  <c r="A285" i="10"/>
  <c r="E285" i="8"/>
  <c r="D285" i="8"/>
  <c r="C285" i="8"/>
  <c r="B285" i="8"/>
  <c r="B200" i="10"/>
  <c r="A200" i="10"/>
  <c r="C200" i="10"/>
  <c r="E200" i="8"/>
  <c r="B200" i="8"/>
  <c r="C200" i="8"/>
  <c r="D200" i="8"/>
  <c r="B264" i="10"/>
  <c r="A264" i="10"/>
  <c r="C264" i="10"/>
  <c r="E264" i="8"/>
  <c r="B264" i="8"/>
  <c r="C264" i="8"/>
  <c r="D264" i="8"/>
  <c r="C167" i="10"/>
  <c r="B167" i="10"/>
  <c r="A167" i="10"/>
  <c r="E167" i="8"/>
  <c r="D167" i="8"/>
  <c r="C167" i="8"/>
  <c r="B167" i="8"/>
  <c r="C231" i="10"/>
  <c r="B231" i="10"/>
  <c r="A231" i="10"/>
  <c r="E231" i="8"/>
  <c r="D231" i="8"/>
  <c r="C231" i="8"/>
  <c r="B231" i="8"/>
  <c r="C295" i="10"/>
  <c r="B295" i="10"/>
  <c r="A295" i="10"/>
  <c r="E295" i="8"/>
  <c r="D295" i="8"/>
  <c r="C295" i="8"/>
  <c r="B295" i="8"/>
  <c r="C204" i="10"/>
  <c r="B204" i="10"/>
  <c r="A204" i="10"/>
  <c r="D204" i="8"/>
  <c r="C204" i="8"/>
  <c r="B204" i="8"/>
  <c r="E204" i="8"/>
  <c r="C268" i="10"/>
  <c r="B268" i="10"/>
  <c r="A268" i="10"/>
  <c r="D268" i="8"/>
  <c r="C268" i="8"/>
  <c r="B268" i="8"/>
  <c r="E268" i="8"/>
  <c r="A171" i="10"/>
  <c r="C171" i="10"/>
  <c r="B171" i="10"/>
  <c r="C171" i="8"/>
  <c r="B171" i="8"/>
  <c r="E171" i="8"/>
  <c r="D171" i="8"/>
  <c r="A235" i="10"/>
  <c r="C235" i="10"/>
  <c r="B235" i="10"/>
  <c r="C235" i="8"/>
  <c r="B235" i="8"/>
  <c r="E235" i="8"/>
  <c r="D235" i="8"/>
  <c r="A299" i="10"/>
  <c r="C299" i="10"/>
  <c r="B299" i="10"/>
  <c r="C299" i="8"/>
  <c r="B299" i="8"/>
  <c r="E299" i="8"/>
  <c r="D299" i="8"/>
  <c r="C202" i="10"/>
  <c r="B202" i="10"/>
  <c r="A202" i="10"/>
  <c r="B202" i="8"/>
  <c r="D202" i="8"/>
  <c r="C202" i="8"/>
  <c r="E202" i="8"/>
  <c r="C266" i="10"/>
  <c r="B266" i="10"/>
  <c r="A266" i="10"/>
  <c r="B266" i="8"/>
  <c r="D266" i="8"/>
  <c r="C266" i="8"/>
  <c r="E266" i="8"/>
  <c r="C169" i="10"/>
  <c r="B169" i="10"/>
  <c r="A169" i="10"/>
  <c r="C169" i="8"/>
  <c r="B169" i="8"/>
  <c r="E169" i="8"/>
  <c r="D169" i="8"/>
  <c r="C233" i="10"/>
  <c r="B233" i="10"/>
  <c r="A233" i="10"/>
  <c r="C233" i="8"/>
  <c r="B233" i="8"/>
  <c r="E233" i="8"/>
  <c r="D233" i="8"/>
  <c r="C297" i="10"/>
  <c r="B297" i="10"/>
  <c r="A297" i="10"/>
  <c r="C297" i="8"/>
  <c r="B297" i="8"/>
  <c r="E297" i="8"/>
  <c r="D297" i="8"/>
  <c r="F193" i="8" l="1"/>
  <c r="G193" i="8" s="1"/>
  <c r="F137" i="8"/>
  <c r="G137" i="8" s="1"/>
  <c r="F12" i="8"/>
  <c r="G12" i="8" s="1"/>
  <c r="F250" i="8"/>
  <c r="G250" i="8" s="1"/>
  <c r="F79" i="8"/>
  <c r="G79" i="8" s="1"/>
  <c r="F218" i="8"/>
  <c r="G218" i="8" s="1"/>
  <c r="F64" i="8"/>
  <c r="G64" i="8" s="1"/>
  <c r="F99" i="8"/>
  <c r="G99" i="8" s="1"/>
  <c r="F63" i="8"/>
  <c r="G63" i="8" s="1"/>
  <c r="F217" i="8"/>
  <c r="G217" i="8" s="1"/>
  <c r="F215" i="8"/>
  <c r="G215" i="8" s="1"/>
  <c r="F205" i="8"/>
  <c r="G205" i="8" s="1"/>
  <c r="F50" i="8"/>
  <c r="G50" i="8" s="1"/>
  <c r="F168" i="8"/>
  <c r="G168" i="8" s="1"/>
  <c r="F178" i="8"/>
  <c r="G178" i="8" s="1"/>
  <c r="F206" i="8"/>
  <c r="G206" i="8" s="1"/>
  <c r="F68" i="8"/>
  <c r="G68" i="8" s="1"/>
  <c r="F275" i="8"/>
  <c r="G275" i="8" s="1"/>
  <c r="F16" i="8"/>
  <c r="G16" i="8" s="1"/>
  <c r="F70" i="8"/>
  <c r="G70" i="8" s="1"/>
  <c r="F276" i="8"/>
  <c r="G276" i="8" s="1"/>
  <c r="F128" i="8"/>
  <c r="G128" i="8" s="1"/>
  <c r="F67" i="8"/>
  <c r="G67" i="8" s="1"/>
  <c r="F59" i="8"/>
  <c r="G59" i="8" s="1"/>
  <c r="F184" i="8"/>
  <c r="G184" i="8" s="1"/>
  <c r="F175" i="8"/>
  <c r="G175" i="8" s="1"/>
  <c r="F182" i="8"/>
  <c r="G182" i="8" s="1"/>
  <c r="F140" i="8"/>
  <c r="G140" i="8" s="1"/>
  <c r="F45" i="8"/>
  <c r="G45" i="8" s="1"/>
  <c r="F153" i="8"/>
  <c r="G153" i="8" s="1"/>
  <c r="F101" i="8"/>
  <c r="G101" i="8" s="1"/>
  <c r="F202" i="8"/>
  <c r="G202" i="8" s="1"/>
  <c r="F209" i="8"/>
  <c r="G209" i="8" s="1"/>
  <c r="F226" i="8"/>
  <c r="G226" i="8" s="1"/>
  <c r="F191" i="8"/>
  <c r="G191" i="8" s="1"/>
  <c r="F171" i="8"/>
  <c r="G171" i="8" s="1"/>
  <c r="F287" i="8"/>
  <c r="G287" i="8" s="1"/>
  <c r="F230" i="8"/>
  <c r="G230" i="8" s="1"/>
  <c r="F36" i="8"/>
  <c r="G36" i="8" s="1"/>
  <c r="F252" i="8"/>
  <c r="G252" i="8" s="1"/>
  <c r="F104" i="8"/>
  <c r="G104" i="8" s="1"/>
  <c r="F139" i="8"/>
  <c r="G139" i="8" s="1"/>
  <c r="F180" i="8"/>
  <c r="G180" i="8" s="1"/>
  <c r="F32" i="8"/>
  <c r="G32" i="8" s="1"/>
  <c r="F172" i="8"/>
  <c r="G172" i="8" s="1"/>
  <c r="F24" i="8"/>
  <c r="G24" i="8" s="1"/>
  <c r="F108" i="8"/>
  <c r="G108" i="8" s="1"/>
  <c r="F176" i="8"/>
  <c r="G176" i="8" s="1"/>
  <c r="F299" i="8"/>
  <c r="G299" i="8" s="1"/>
  <c r="F285" i="8"/>
  <c r="G285" i="8" s="1"/>
  <c r="F286" i="8"/>
  <c r="G286" i="8" s="1"/>
  <c r="F227" i="8"/>
  <c r="G227" i="8" s="1"/>
  <c r="F90" i="8"/>
  <c r="G90" i="8" s="1"/>
  <c r="F149" i="8"/>
  <c r="G149" i="8" s="1"/>
  <c r="F179" i="8"/>
  <c r="G179" i="8" s="1"/>
  <c r="F144" i="8"/>
  <c r="G144" i="8" s="1"/>
  <c r="F143" i="8"/>
  <c r="G143" i="8" s="1"/>
  <c r="F170" i="8"/>
  <c r="G170" i="8" s="1"/>
  <c r="F278" i="8"/>
  <c r="F84" i="8"/>
  <c r="G84" i="8" s="1"/>
  <c r="F154" i="8"/>
  <c r="G154" i="8" s="1"/>
  <c r="F35" i="8"/>
  <c r="F281" i="8"/>
  <c r="G281" i="8" s="1"/>
  <c r="F279" i="8"/>
  <c r="G279" i="8" s="1"/>
  <c r="F212" i="8"/>
  <c r="G212" i="8" s="1"/>
  <c r="F106" i="8"/>
  <c r="G106" i="8" s="1"/>
  <c r="F47" i="8"/>
  <c r="G47" i="8" s="1"/>
  <c r="F155" i="8"/>
  <c r="G155" i="8" s="1"/>
  <c r="F222" i="8"/>
  <c r="G222" i="8" s="1"/>
  <c r="F208" i="8"/>
  <c r="G208" i="8" s="1"/>
  <c r="F290" i="8"/>
  <c r="G290" i="8" s="1"/>
  <c r="F272" i="8"/>
  <c r="G272" i="8" s="1"/>
  <c r="F118" i="8"/>
  <c r="G118" i="8" s="1"/>
  <c r="F14" i="8"/>
  <c r="G14" i="8" s="1"/>
  <c r="F283" i="8"/>
  <c r="G283" i="8" s="1"/>
  <c r="F221" i="8"/>
  <c r="G221" i="8" s="1"/>
  <c r="F211" i="8"/>
  <c r="G211" i="8" s="1"/>
  <c r="F74" i="8"/>
  <c r="G74" i="8" s="1"/>
  <c r="F10" i="8"/>
  <c r="G10" i="8" s="1"/>
  <c r="F53" i="8"/>
  <c r="G53" i="8" s="1"/>
  <c r="F203" i="8"/>
  <c r="G203" i="8" s="1"/>
  <c r="F122" i="8"/>
  <c r="G122" i="8" s="1"/>
  <c r="F270" i="8"/>
  <c r="G270" i="8" s="1"/>
  <c r="F115" i="8"/>
  <c r="G115" i="8" s="1"/>
  <c r="F274" i="8"/>
  <c r="G274" i="8" s="1"/>
  <c r="F269" i="8"/>
  <c r="G269" i="8" s="1"/>
  <c r="F186" i="8"/>
  <c r="G186" i="8" s="1"/>
  <c r="F31" i="8"/>
  <c r="G31" i="8" s="1"/>
  <c r="F289" i="8"/>
  <c r="G289" i="8" s="1"/>
  <c r="F103" i="8"/>
  <c r="G103" i="8" s="1"/>
  <c r="F39" i="8"/>
  <c r="F235" i="8"/>
  <c r="G235" i="8" s="1"/>
  <c r="F98" i="8"/>
  <c r="G98" i="8" s="1"/>
  <c r="F174" i="8"/>
  <c r="G174" i="8" s="1"/>
  <c r="F163" i="8"/>
  <c r="G163" i="8" s="1"/>
  <c r="F273" i="8"/>
  <c r="G273" i="8" s="1"/>
  <c r="F86" i="8"/>
  <c r="G86" i="8" s="1"/>
  <c r="F265" i="8"/>
  <c r="G265" i="8" s="1"/>
  <c r="F263" i="8"/>
  <c r="G263" i="8" s="1"/>
  <c r="F150" i="8"/>
  <c r="G150" i="8" s="1"/>
  <c r="F132" i="8"/>
  <c r="G132" i="8" s="1"/>
  <c r="F135" i="8"/>
  <c r="G135" i="8" s="1"/>
  <c r="F282" i="8"/>
  <c r="G282" i="8" s="1"/>
  <c r="F66" i="8"/>
  <c r="G66" i="8" s="1"/>
  <c r="F2" i="8"/>
  <c r="G2" i="8" s="1"/>
  <c r="F229" i="8"/>
  <c r="G229" i="8" s="1"/>
  <c r="F277" i="8"/>
  <c r="G277" i="8" s="1"/>
  <c r="F28" i="8"/>
  <c r="G28" i="8" s="1"/>
  <c r="F256" i="8"/>
  <c r="G256" i="8" s="1"/>
  <c r="F41" i="8"/>
  <c r="G41" i="8" s="1"/>
  <c r="F5" i="8"/>
  <c r="G5" i="8" s="1"/>
  <c r="F125" i="8"/>
  <c r="G125" i="8" s="1"/>
  <c r="F187" i="8"/>
  <c r="G187" i="8" s="1"/>
  <c r="F169" i="8"/>
  <c r="G169" i="8" s="1"/>
  <c r="F167" i="8"/>
  <c r="G167" i="8" s="1"/>
  <c r="F113" i="8"/>
  <c r="G113" i="8" s="1"/>
  <c r="F77" i="8"/>
  <c r="G77" i="8" s="1"/>
  <c r="F20" i="8"/>
  <c r="G20" i="8" s="1"/>
  <c r="F197" i="8"/>
  <c r="G197" i="8" s="1"/>
  <c r="F245" i="8"/>
  <c r="G245" i="8" s="1"/>
  <c r="F4" i="8"/>
  <c r="C4" i="10" s="1"/>
  <c r="F87" i="8"/>
  <c r="G87" i="8" s="1"/>
  <c r="F300" i="8"/>
  <c r="G300" i="8" s="1"/>
  <c r="F296" i="8"/>
  <c r="G296" i="8" s="1"/>
  <c r="F121" i="8"/>
  <c r="G121" i="8" s="1"/>
  <c r="F85" i="8"/>
  <c r="G85" i="8" s="1"/>
  <c r="F89" i="8"/>
  <c r="G89" i="8" s="1"/>
  <c r="F52" i="8"/>
  <c r="G52" i="8" s="1"/>
  <c r="F259" i="8"/>
  <c r="G259" i="8" s="1"/>
  <c r="F228" i="8"/>
  <c r="G228" i="8" s="1"/>
  <c r="F160" i="8"/>
  <c r="G160" i="8" s="1"/>
  <c r="F141" i="8"/>
  <c r="G141" i="8" s="1"/>
  <c r="F80" i="8"/>
  <c r="G80" i="8" s="1"/>
  <c r="F239" i="8"/>
  <c r="G239" i="8" s="1"/>
  <c r="F111" i="8"/>
  <c r="G111" i="8" s="1"/>
  <c r="F198" i="8"/>
  <c r="G198" i="8" s="1"/>
  <c r="F81" i="8"/>
  <c r="G81" i="8" s="1"/>
  <c r="F100" i="8"/>
  <c r="G100" i="8" s="1"/>
  <c r="F224" i="8"/>
  <c r="G224" i="8" s="1"/>
  <c r="F9" i="8"/>
  <c r="C9" i="10" s="1"/>
  <c r="F30" i="8"/>
  <c r="G30" i="8" s="1"/>
  <c r="G35" i="8"/>
  <c r="G127" i="8"/>
  <c r="G39" i="8"/>
  <c r="G278" i="8"/>
  <c r="F27" i="8"/>
  <c r="G27" i="8" s="1"/>
  <c r="F49" i="8"/>
  <c r="G49" i="8" s="1"/>
  <c r="F110" i="8"/>
  <c r="G110" i="8" s="1"/>
  <c r="F46" i="8"/>
  <c r="G46" i="8" s="1"/>
  <c r="F291" i="8"/>
  <c r="G291" i="8" s="1"/>
  <c r="F260" i="8"/>
  <c r="G260" i="8" s="1"/>
  <c r="F192" i="8"/>
  <c r="G192" i="8" s="1"/>
  <c r="F253" i="8"/>
  <c r="G253" i="8" s="1"/>
  <c r="F112" i="8"/>
  <c r="G112" i="8" s="1"/>
  <c r="F254" i="8"/>
  <c r="G254" i="8" s="1"/>
  <c r="F219" i="8"/>
  <c r="G219" i="8" s="1"/>
  <c r="F188" i="8"/>
  <c r="G188" i="8" s="1"/>
  <c r="F40" i="8"/>
  <c r="G40" i="8" s="1"/>
  <c r="F82" i="8"/>
  <c r="G82" i="8" s="1"/>
  <c r="F18" i="8"/>
  <c r="G18" i="8" s="1"/>
  <c r="F75" i="8"/>
  <c r="G75" i="8" s="1"/>
  <c r="F181" i="8"/>
  <c r="G181" i="8" s="1"/>
  <c r="F162" i="8"/>
  <c r="G162" i="8" s="1"/>
  <c r="F73" i="8"/>
  <c r="G73" i="8" s="1"/>
  <c r="F37" i="8"/>
  <c r="G37" i="8" s="1"/>
  <c r="F38" i="8"/>
  <c r="G38" i="8" s="1"/>
  <c r="F284" i="8"/>
  <c r="G284" i="8" s="1"/>
  <c r="F216" i="8"/>
  <c r="G216" i="8" s="1"/>
  <c r="F136" i="8"/>
  <c r="G136" i="8" s="1"/>
  <c r="F62" i="8"/>
  <c r="G62" i="8" s="1"/>
  <c r="F102" i="8"/>
  <c r="G102" i="8" s="1"/>
  <c r="F7" i="8"/>
  <c r="F280" i="8"/>
  <c r="G280" i="8" s="1"/>
  <c r="F126" i="8"/>
  <c r="G126" i="8" s="1"/>
  <c r="F243" i="8"/>
  <c r="G243" i="8" s="1"/>
  <c r="F42" i="8"/>
  <c r="G42" i="8" s="1"/>
  <c r="F151" i="8"/>
  <c r="G151" i="8" s="1"/>
  <c r="F248" i="8"/>
  <c r="G248" i="8" s="1"/>
  <c r="F33" i="8"/>
  <c r="G33" i="8" s="1"/>
  <c r="F94" i="8"/>
  <c r="G94" i="8" s="1"/>
  <c r="F145" i="8"/>
  <c r="G145" i="8" s="1"/>
  <c r="F242" i="8"/>
  <c r="G242" i="8" s="1"/>
  <c r="F207" i="8"/>
  <c r="G207" i="8" s="1"/>
  <c r="F117" i="8"/>
  <c r="G117" i="8" s="1"/>
  <c r="F116" i="8"/>
  <c r="G116" i="8" s="1"/>
  <c r="F267" i="8"/>
  <c r="G267" i="8" s="1"/>
  <c r="F236" i="8"/>
  <c r="G236" i="8" s="1"/>
  <c r="F232" i="8"/>
  <c r="G232" i="8" s="1"/>
  <c r="F157" i="8"/>
  <c r="G157" i="8" s="1"/>
  <c r="F88" i="8"/>
  <c r="G88" i="8" s="1"/>
  <c r="F130" i="8"/>
  <c r="G130" i="8" s="1"/>
  <c r="F123" i="8"/>
  <c r="G123" i="8" s="1"/>
  <c r="F158" i="8"/>
  <c r="G158" i="8" s="1"/>
  <c r="F257" i="8"/>
  <c r="G257" i="8" s="1"/>
  <c r="F255" i="8"/>
  <c r="G255" i="8" s="1"/>
  <c r="F246" i="8"/>
  <c r="G246" i="8" s="1"/>
  <c r="F71" i="8"/>
  <c r="G71" i="8" s="1"/>
  <c r="F22" i="8"/>
  <c r="G22" i="8" s="1"/>
  <c r="F65" i="8"/>
  <c r="G65" i="8" s="1"/>
  <c r="F293" i="8"/>
  <c r="G293" i="8" s="1"/>
  <c r="F29" i="8"/>
  <c r="G29" i="8" s="1"/>
  <c r="F124" i="8"/>
  <c r="G124" i="8" s="1"/>
  <c r="F54" i="8"/>
  <c r="G54" i="8" s="1"/>
  <c r="F233" i="8"/>
  <c r="G233" i="8" s="1"/>
  <c r="F266" i="8"/>
  <c r="G266" i="8" s="1"/>
  <c r="F231" i="8"/>
  <c r="G231" i="8" s="1"/>
  <c r="F92" i="8"/>
  <c r="G92" i="8" s="1"/>
  <c r="F161" i="8"/>
  <c r="G161" i="8" s="1"/>
  <c r="F194" i="8"/>
  <c r="G194" i="8" s="1"/>
  <c r="F159" i="8"/>
  <c r="G159" i="8" s="1"/>
  <c r="F105" i="8"/>
  <c r="G105" i="8" s="1"/>
  <c r="F69" i="8"/>
  <c r="G69" i="8" s="1"/>
  <c r="F6" i="8"/>
  <c r="F165" i="8"/>
  <c r="G165" i="8" s="1"/>
  <c r="F213" i="8"/>
  <c r="G213" i="8" s="1"/>
  <c r="F271" i="8"/>
  <c r="G271" i="8" s="1"/>
  <c r="F166" i="8"/>
  <c r="G166" i="8" s="1"/>
  <c r="F23" i="8"/>
  <c r="G23" i="8" s="1"/>
  <c r="F237" i="8"/>
  <c r="G237" i="8" s="1"/>
  <c r="F17" i="8"/>
  <c r="G17" i="8" s="1"/>
  <c r="F78" i="8"/>
  <c r="G78" i="8" s="1"/>
  <c r="F185" i="8"/>
  <c r="G185" i="8" s="1"/>
  <c r="F183" i="8"/>
  <c r="G183" i="8" s="1"/>
  <c r="F129" i="8"/>
  <c r="G129" i="8" s="1"/>
  <c r="F93" i="8"/>
  <c r="G93" i="8" s="1"/>
  <c r="F297" i="8"/>
  <c r="G297" i="8" s="1"/>
  <c r="F295" i="8"/>
  <c r="G295" i="8" s="1"/>
  <c r="F262" i="8"/>
  <c r="G262" i="8" s="1"/>
  <c r="F148" i="8"/>
  <c r="G148" i="8" s="1"/>
  <c r="F76" i="8"/>
  <c r="G76" i="8" s="1"/>
  <c r="F225" i="8"/>
  <c r="G225" i="8" s="1"/>
  <c r="F258" i="8"/>
  <c r="G258" i="8" s="1"/>
  <c r="F223" i="8"/>
  <c r="G223" i="8" s="1"/>
  <c r="F133" i="8"/>
  <c r="G133" i="8" s="1"/>
  <c r="F44" i="8"/>
  <c r="G44" i="8" s="1"/>
  <c r="F97" i="8"/>
  <c r="G97" i="8" s="1"/>
  <c r="F61" i="8"/>
  <c r="G61" i="8" s="1"/>
  <c r="F147" i="8"/>
  <c r="G147" i="8" s="1"/>
  <c r="F3" i="8"/>
  <c r="F142" i="8"/>
  <c r="G142" i="8" s="1"/>
  <c r="F195" i="8"/>
  <c r="G195" i="8" s="1"/>
  <c r="F164" i="8"/>
  <c r="G164" i="8" s="1"/>
  <c r="F58" i="8"/>
  <c r="G58" i="8" s="1"/>
  <c r="F51" i="8"/>
  <c r="G51" i="8" s="1"/>
  <c r="F249" i="8"/>
  <c r="G249" i="8" s="1"/>
  <c r="F247" i="8"/>
  <c r="G247" i="8" s="1"/>
  <c r="F8" i="8"/>
  <c r="F214" i="8"/>
  <c r="G214" i="8" s="1"/>
  <c r="F13" i="8"/>
  <c r="F146" i="8"/>
  <c r="G146" i="8" s="1"/>
  <c r="F57" i="8"/>
  <c r="G57" i="8" s="1"/>
  <c r="F261" i="8"/>
  <c r="G261" i="8" s="1"/>
  <c r="F21" i="8"/>
  <c r="G21" i="8" s="1"/>
  <c r="F60" i="8"/>
  <c r="G60" i="8" s="1"/>
  <c r="F210" i="8"/>
  <c r="G210" i="8" s="1"/>
  <c r="F204" i="8"/>
  <c r="G204" i="8" s="1"/>
  <c r="F200" i="8"/>
  <c r="G200" i="8" s="1"/>
  <c r="F56" i="8"/>
  <c r="G56" i="8" s="1"/>
  <c r="F34" i="8"/>
  <c r="G34" i="8" s="1"/>
  <c r="F91" i="8"/>
  <c r="G91" i="8" s="1"/>
  <c r="F19" i="8"/>
  <c r="G19" i="8" s="1"/>
  <c r="F95" i="8"/>
  <c r="G95" i="8" s="1"/>
  <c r="F244" i="8"/>
  <c r="G244" i="8" s="1"/>
  <c r="F189" i="8"/>
  <c r="G189" i="8" s="1"/>
  <c r="F96" i="8"/>
  <c r="G96" i="8" s="1"/>
  <c r="F138" i="8"/>
  <c r="G138" i="8" s="1"/>
  <c r="F131" i="8"/>
  <c r="G131" i="8" s="1"/>
  <c r="F190" i="8"/>
  <c r="G190" i="8" s="1"/>
  <c r="F201" i="8"/>
  <c r="G201" i="8" s="1"/>
  <c r="F234" i="8"/>
  <c r="G234" i="8" s="1"/>
  <c r="F199" i="8"/>
  <c r="G199" i="8" s="1"/>
  <c r="F109" i="8"/>
  <c r="G109" i="8" s="1"/>
  <c r="F292" i="8"/>
  <c r="G292" i="8" s="1"/>
  <c r="F156" i="8"/>
  <c r="G156" i="8" s="1"/>
  <c r="F43" i="8"/>
  <c r="G43" i="8" s="1"/>
  <c r="F177" i="8"/>
  <c r="G177" i="8" s="1"/>
  <c r="F55" i="8"/>
  <c r="G55" i="8" s="1"/>
  <c r="F268" i="8"/>
  <c r="G268" i="8" s="1"/>
  <c r="F264" i="8"/>
  <c r="G264" i="8" s="1"/>
  <c r="F120" i="8"/>
  <c r="G120" i="8" s="1"/>
  <c r="F196" i="8"/>
  <c r="G196" i="8" s="1"/>
  <c r="F48" i="8"/>
  <c r="G48" i="8" s="1"/>
  <c r="F26" i="8"/>
  <c r="G26" i="8" s="1"/>
  <c r="F83" i="8"/>
  <c r="G83" i="8" s="1"/>
  <c r="F11" i="8"/>
  <c r="F240" i="8"/>
  <c r="G240" i="8" s="1"/>
  <c r="F25" i="8"/>
  <c r="G25" i="8" s="1"/>
  <c r="F298" i="8"/>
  <c r="G298" i="8" s="1"/>
  <c r="F15" i="8"/>
  <c r="G15" i="8" s="1"/>
  <c r="F288" i="8"/>
  <c r="G288" i="8" s="1"/>
  <c r="F134" i="8"/>
  <c r="G134" i="8" s="1"/>
  <c r="F173" i="8"/>
  <c r="G173" i="8" s="1"/>
  <c r="F251" i="8"/>
  <c r="G251" i="8" s="1"/>
  <c r="F220" i="8"/>
  <c r="G220" i="8" s="1"/>
  <c r="F152" i="8"/>
  <c r="G152" i="8" s="1"/>
  <c r="F72" i="8"/>
  <c r="G72" i="8" s="1"/>
  <c r="F114" i="8"/>
  <c r="G114" i="8" s="1"/>
  <c r="F238" i="8"/>
  <c r="G238" i="8" s="1"/>
  <c r="F107" i="8"/>
  <c r="G107" i="8" s="1"/>
  <c r="C12" i="10"/>
  <c r="F241" i="8"/>
  <c r="G241" i="8" s="1"/>
  <c r="F301" i="8"/>
  <c r="G301" i="8" s="1"/>
  <c r="F294" i="8"/>
  <c r="G294" i="8" s="1"/>
  <c r="F119" i="8"/>
  <c r="G119" i="8" s="1"/>
  <c r="C10" i="10" l="1"/>
  <c r="C5" i="10"/>
  <c r="G9" i="8"/>
  <c r="C2" i="10"/>
  <c r="G4" i="8"/>
  <c r="G13" i="8"/>
  <c r="C13" i="10"/>
  <c r="G7" i="8"/>
  <c r="C7" i="10"/>
  <c r="G8" i="8"/>
  <c r="C8" i="10"/>
  <c r="G11" i="8"/>
  <c r="C11" i="10"/>
  <c r="G3" i="8"/>
  <c r="C3" i="10"/>
  <c r="G6" i="8"/>
  <c r="C6" i="10"/>
  <c r="B2" i="9" l="1"/>
  <c r="B6" i="9" l="1"/>
  <c r="B4" i="9"/>
  <c r="B7" i="9" l="1"/>
  <c r="B9" i="9" l="1"/>
  <c r="B11" i="9"/>
</calcChain>
</file>

<file path=xl/sharedStrings.xml><?xml version="1.0" encoding="utf-8"?>
<sst xmlns="http://schemas.openxmlformats.org/spreadsheetml/2006/main" count="145" uniqueCount="116">
  <si>
    <t>Doost &amp; Amici – Party Pre‑Order Template (Festive – compatible mode)</t>
  </si>
  <si>
    <t>This version avoids FILTER/XLOOKUP so it works on older Excel.</t>
  </si>
  <si>
    <t>Edit items on the Menu sheet (Active=1 to include). Dropdowns will update.</t>
  </si>
  <si>
    <t>Use Guest Pre‑Orders OR Counts Pre‑Orders. Summary &amp; Kitchen Prep update.</t>
  </si>
  <si>
    <t>Setting</t>
  </si>
  <si>
    <t>Value</t>
  </si>
  <si>
    <t>Notes</t>
  </si>
  <si>
    <t>Currency Symbol</t>
  </si>
  <si>
    <t>£</t>
  </si>
  <si>
    <t>Shown in Summary and Pre‑Order sheets</t>
  </si>
  <si>
    <t>Default VAT Rate</t>
  </si>
  <si>
    <t>Percent (e.g., 20 means 20%)</t>
  </si>
  <si>
    <t>Service Charge %</t>
  </si>
  <si>
    <t>Percent applied on food &amp; drink subtotal</t>
  </si>
  <si>
    <t>Deposit Received</t>
  </si>
  <si>
    <t>Enter any deposit received (will be deducted from balance)</t>
  </si>
  <si>
    <t>Course</t>
  </si>
  <si>
    <t>Item</t>
  </si>
  <si>
    <t>Description</t>
  </si>
  <si>
    <t>Price</t>
  </si>
  <si>
    <t>Dietary (V/Ve/GF/DF)</t>
  </si>
  <si>
    <t>Active</t>
  </si>
  <si>
    <t>StarterIndex</t>
  </si>
  <si>
    <t>MainIndex</t>
  </si>
  <si>
    <t>DessertIndex</t>
  </si>
  <si>
    <t>SideIndex</t>
  </si>
  <si>
    <t>DrinkIndex</t>
  </si>
  <si>
    <t>ActiveIndex</t>
  </si>
  <si>
    <t>Starter</t>
  </si>
  <si>
    <t>V</t>
  </si>
  <si>
    <t>Main</t>
  </si>
  <si>
    <t>Dessert</t>
  </si>
  <si>
    <t>Tiramisu Amici</t>
  </si>
  <si>
    <t>Rosewater Baklava</t>
  </si>
  <si>
    <t>StarterList</t>
  </si>
  <si>
    <t>MainList</t>
  </si>
  <si>
    <t>DessertList</t>
  </si>
  <si>
    <t>SideList</t>
  </si>
  <si>
    <t>DrinkList</t>
  </si>
  <si>
    <t>AllActiveList</t>
  </si>
  <si>
    <t>Field</t>
  </si>
  <si>
    <t>Party Name</t>
  </si>
  <si>
    <t>Contact Name</t>
  </si>
  <si>
    <t>Phone</t>
  </si>
  <si>
    <t>Email</t>
  </si>
  <si>
    <t>Event Date</t>
  </si>
  <si>
    <t>Arrival Time</t>
  </si>
  <si>
    <t>Guests (Expected)</t>
  </si>
  <si>
    <t>Pre‑order deadline</t>
  </si>
  <si>
    <t>Menu Type</t>
  </si>
  <si>
    <t>Set menu</t>
  </si>
  <si>
    <t>Set Menu Price (per person)</t>
  </si>
  <si>
    <t>Notes (dietaries, allergies, special requests)</t>
  </si>
  <si>
    <t>#</t>
  </si>
  <si>
    <t>Guest Name</t>
  </si>
  <si>
    <t>Side/Extra</t>
  </si>
  <si>
    <t>Allergies/Notes</t>
  </si>
  <si>
    <t>Starter £</t>
  </si>
  <si>
    <t>Main £</t>
  </si>
  <si>
    <t>Dessert £</t>
  </si>
  <si>
    <t>Side £</t>
  </si>
  <si>
    <t>Row Subtotal £</t>
  </si>
  <si>
    <t>Total</t>
  </si>
  <si>
    <t>Qty</t>
  </si>
  <si>
    <t>Line Total</t>
  </si>
  <si>
    <t>Unit £</t>
  </si>
  <si>
    <t>From Guest Pre‑Orders (Qty)</t>
  </si>
  <si>
    <t>From Counts (Qty)</t>
  </si>
  <si>
    <t>Total Qty</t>
  </si>
  <si>
    <t>Line Total £</t>
  </si>
  <si>
    <t>Summary</t>
  </si>
  <si>
    <t>Food &amp; Drink Subtotal</t>
  </si>
  <si>
    <t>Service Charge £</t>
  </si>
  <si>
    <t>VAT Rate %</t>
  </si>
  <si>
    <t>VAT on Subtotal £</t>
  </si>
  <si>
    <t>Total £</t>
  </si>
  <si>
    <t>Deposit Received £</t>
  </si>
  <si>
    <t>Balance Due £</t>
  </si>
  <si>
    <t>Per‑Head (Total £ / Guests)</t>
  </si>
  <si>
    <t>Whipped Feta</t>
  </si>
  <si>
    <t>Aubergine Trio</t>
  </si>
  <si>
    <t>Mirza Ghasemi, Kashk‑e‑Bademjan, Borani, toasted Persian bread</t>
  </si>
  <si>
    <t>Roasted grapes, a drizzle of chilli honey, pistachio, warm sourdough</t>
  </si>
  <si>
    <t xml:space="preserve">Ash Reshteh </t>
  </si>
  <si>
    <t>Persian herb &amp; noodle soup with beans, dill &amp; mint, crispy onions</t>
  </si>
  <si>
    <t>Beetroot Cured Salmon</t>
  </si>
  <si>
    <t>Oganic rainbow beetroot, pomegranate pearls</t>
  </si>
  <si>
    <t>Turkey Ballotine</t>
  </si>
  <si>
    <t>Italian sausage, golden raisins &amp; ricotta, roast potatoes, pan juices</t>
  </si>
  <si>
    <t xml:space="preserve">Beef Bourguignon </t>
  </si>
  <si>
    <t>Shallots &amp; mushrooms, buttered mash, crusty Italian bread</t>
  </si>
  <si>
    <t>Monkfish</t>
  </si>
  <si>
    <t>Rich mussel broth with herbs &amp; warm spices, rosemary baby potatoes</t>
  </si>
  <si>
    <t>Beetroot Risotto</t>
  </si>
  <si>
    <t xml:space="preserve"> with feta &amp; toasted pistachios</t>
  </si>
  <si>
    <t>Bread &amp; Butter Pudding</t>
  </si>
  <si>
    <t xml:space="preserve">Panettone </t>
  </si>
  <si>
    <t>Roasted Pork Belly</t>
  </si>
  <si>
    <t>winter ratatouille, glossy pan jus</t>
  </si>
  <si>
    <t>Tuesday to Thursday 3 courses</t>
  </si>
  <si>
    <t>Tuesday to Thursday 2 courses</t>
  </si>
  <si>
    <t>Evenings, Tuesday to Thursday  3 courses</t>
  </si>
  <si>
    <t>Friday to Sunday 3 courses £44 per person</t>
  </si>
  <si>
    <t>Friday to Sunday 3 courses</t>
  </si>
  <si>
    <t>Children under 12 2 courses</t>
  </si>
  <si>
    <t>Drinks</t>
  </si>
  <si>
    <t xml:space="preserve">Arrival Prosecco </t>
  </si>
  <si>
    <t>Arrival Champagne</t>
  </si>
  <si>
    <t>Classic Wine Package</t>
  </si>
  <si>
    <t>Premium Wine Package</t>
  </si>
  <si>
    <t>Children under 12 - 2 courses £18</t>
  </si>
  <si>
    <t>A discretionary 13.5% service charge is added to the bill</t>
  </si>
  <si>
    <t>amicilondon@gmail.com - t: 02037596985- www.amici-london.com</t>
  </si>
  <si>
    <t>Lunch Tuesday to Thursday 2 courses £33 per person</t>
  </si>
  <si>
    <t>Lunch Tuesday to Thursday 3 courses £39.50 per person</t>
  </si>
  <si>
    <t>Dinner, Tuesday to Thursday 3 courses £42 per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</si>
</sst>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name val="Calibri"/>
    </font>
    <font>
      <sz val="11"/>
      <color theme="1"/>
      <name val="YAFdtQi73Xs_0"/>
    </font>
  </fonts>
  <fills count="3">
    <fill>
      <patternFill patternType="none"/>
    </fill>
    <fill>
      <patternFill patternType="gray125"/>
    </fill>
    <fill>
      <patternFill patternType="solid">
        <fgColor rgb="FFDDEEFF"/>
        <bgColor rgb="FFDDEE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0" xfId="0" applyFont="1" applyFill="1" applyAlignment="1">
      <alignment horizontal="center" vertical="center"/>
    </xf>
    <xf numFmtId="0" fontId="1" fillId="0" borderId="0" xfId="0" applyFont="1"/>
    <xf numFmtId="0" fontId="1" fillId="2" borderId="1" xfId="0" applyFont="1" applyFill="1" applyBorder="1" applyAlignment="1">
      <alignment horizontal="center" vertical="center"/>
    </xf>
    <xf numFmtId="0" fontId="0" fillId="0" borderId="1" xfId="0" applyBorder="1"/>
    <xf numFmtId="0" fontId="0" fillId="0" borderId="1" xfId="0" applyBorder="1" applyProtection="1">
      <protection locked="0"/>
    </xf>
    <xf numFmtId="0" fontId="0" fillId="0" borderId="1" xfId="0" applyBorder="1" applyAlignment="1" applyProtection="1">
      <alignment horizontal="left"/>
      <protection locked="0"/>
    </xf>
    <xf numFmtId="0" fontId="0" fillId="0" borderId="0" xfId="0" applyProtection="1"/>
    <xf numFmtId="0" fontId="2" fillId="0" borderId="0" xfId="0" applyFont="1" applyAlignment="1" applyProtection="1">
      <alignment vertical="center"/>
    </xf>
    <xf numFmtId="0" fontId="1" fillId="2" borderId="0" xfId="0" applyFont="1" applyFill="1" applyAlignment="1" applyProtection="1">
      <alignment horizontal="center" vertical="center"/>
    </xf>
    <xf numFmtId="0" fontId="0" fillId="0" borderId="1" xfId="0" applyBorder="1" applyProtection="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6" sqref="A16"/>
    </sheetView>
  </sheetViews>
  <sheetFormatPr defaultRowHeight="15"/>
  <cols>
    <col min="1" max="1" width="110" customWidth="1"/>
  </cols>
  <sheetData>
    <row r="1" spans="1:1">
      <c r="A1" t="s">
        <v>0</v>
      </c>
    </row>
    <row r="3" spans="1:1">
      <c r="A3" t="s">
        <v>1</v>
      </c>
    </row>
    <row r="4" spans="1:1">
      <c r="A4" t="s">
        <v>2</v>
      </c>
    </row>
    <row r="5" spans="1:1">
      <c r="A5" t="s">
        <v>3</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01"/>
  <sheetViews>
    <sheetView workbookViewId="0">
      <pane ySplit="1" topLeftCell="A2" activePane="bottomLeft" state="frozen"/>
      <selection activeCell="A16" sqref="A16"/>
      <selection pane="bottomLeft" activeCell="A16" sqref="A16"/>
    </sheetView>
  </sheetViews>
  <sheetFormatPr defaultRowHeight="15"/>
  <cols>
    <col min="1" max="1" width="14" customWidth="1"/>
    <col min="2" max="2" width="60" customWidth="1"/>
    <col min="3" max="3" width="10" customWidth="1"/>
  </cols>
  <sheetData>
    <row r="1" spans="1:3">
      <c r="A1" s="1" t="s">
        <v>16</v>
      </c>
      <c r="B1" s="1" t="s">
        <v>17</v>
      </c>
      <c r="C1" s="1" t="s">
        <v>63</v>
      </c>
    </row>
    <row r="2" spans="1:3">
      <c r="A2" t="str">
        <f>IF('Item Totals'!A2="","",'Item Totals'!B2)</f>
        <v>Starter</v>
      </c>
      <c r="B2" t="str">
        <f>IF('Item Totals'!A2="","",'Item Totals'!A2)</f>
        <v>Whipped Feta</v>
      </c>
      <c r="C2">
        <f>IF('Item Totals'!A2="","",'Item Totals'!F2)</f>
        <v>0</v>
      </c>
    </row>
    <row r="3" spans="1:3">
      <c r="A3" t="str">
        <f>IF('Item Totals'!A3="","",'Item Totals'!B3)</f>
        <v>Starter</v>
      </c>
      <c r="B3" t="str">
        <f>IF('Item Totals'!A3="","",'Item Totals'!A3)</f>
        <v>Aubergine Trio</v>
      </c>
      <c r="C3">
        <f>IF('Item Totals'!A3="","",'Item Totals'!F3)</f>
        <v>0</v>
      </c>
    </row>
    <row r="4" spans="1:3">
      <c r="A4" t="str">
        <f>IF('Item Totals'!A4="","",'Item Totals'!B4)</f>
        <v>Starter</v>
      </c>
      <c r="B4" t="str">
        <f>IF('Item Totals'!A4="","",'Item Totals'!A4)</f>
        <v xml:space="preserve">Ash Reshteh </v>
      </c>
      <c r="C4">
        <f>IF('Item Totals'!A4="","",'Item Totals'!F4)</f>
        <v>0</v>
      </c>
    </row>
    <row r="5" spans="1:3">
      <c r="A5" t="str">
        <f>IF('Item Totals'!A5="","",'Item Totals'!B5)</f>
        <v>Starter</v>
      </c>
      <c r="B5" t="str">
        <f>IF('Item Totals'!A5="","",'Item Totals'!A5)</f>
        <v>Beetroot Cured Salmon</v>
      </c>
      <c r="C5">
        <f>IF('Item Totals'!A5="","",'Item Totals'!F5)</f>
        <v>0</v>
      </c>
    </row>
    <row r="6" spans="1:3">
      <c r="A6" t="str">
        <f>IF('Item Totals'!A6="","",'Item Totals'!B6)</f>
        <v>Main</v>
      </c>
      <c r="B6" t="str">
        <f>IF('Item Totals'!A6="","",'Item Totals'!A6)</f>
        <v>Turkey Ballotine</v>
      </c>
      <c r="C6">
        <f>IF('Item Totals'!A6="","",'Item Totals'!F6)</f>
        <v>0</v>
      </c>
    </row>
    <row r="7" spans="1:3">
      <c r="A7" t="str">
        <f>IF('Item Totals'!A7="","",'Item Totals'!B7)</f>
        <v>Main</v>
      </c>
      <c r="B7" t="str">
        <f>IF('Item Totals'!A7="","",'Item Totals'!A7)</f>
        <v xml:space="preserve">Beef Bourguignon </v>
      </c>
      <c r="C7">
        <f>IF('Item Totals'!A7="","",'Item Totals'!F7)</f>
        <v>0</v>
      </c>
    </row>
    <row r="8" spans="1:3">
      <c r="A8" t="str">
        <f>IF('Item Totals'!A8="","",'Item Totals'!B8)</f>
        <v>Main</v>
      </c>
      <c r="B8" t="str">
        <f>IF('Item Totals'!A8="","",'Item Totals'!A8)</f>
        <v>Monkfish</v>
      </c>
      <c r="C8">
        <f>IF('Item Totals'!A8="","",'Item Totals'!F8)</f>
        <v>0</v>
      </c>
    </row>
    <row r="9" spans="1:3">
      <c r="A9" t="str">
        <f>IF('Item Totals'!A9="","",'Item Totals'!B9)</f>
        <v>Main</v>
      </c>
      <c r="B9" t="str">
        <f>IF('Item Totals'!A9="","",'Item Totals'!A9)</f>
        <v>Roasted Pork Belly</v>
      </c>
      <c r="C9">
        <f>IF('Item Totals'!A9="","",'Item Totals'!F9)</f>
        <v>0</v>
      </c>
    </row>
    <row r="10" spans="1:3">
      <c r="A10" t="str">
        <f>IF('Item Totals'!A10="","",'Item Totals'!B10)</f>
        <v>Main</v>
      </c>
      <c r="B10" t="str">
        <f>IF('Item Totals'!A10="","",'Item Totals'!A10)</f>
        <v>Beetroot Risotto</v>
      </c>
      <c r="C10">
        <f>IF('Item Totals'!A10="","",'Item Totals'!F10)</f>
        <v>0</v>
      </c>
    </row>
    <row r="11" spans="1:3">
      <c r="A11" t="str">
        <f>IF('Item Totals'!A11="","",'Item Totals'!B11)</f>
        <v>Dessert</v>
      </c>
      <c r="B11" t="str">
        <f>IF('Item Totals'!A11="","",'Item Totals'!A11)</f>
        <v>Tiramisu Amici</v>
      </c>
      <c r="C11">
        <f>IF('Item Totals'!A11="","",'Item Totals'!F11)</f>
        <v>0</v>
      </c>
    </row>
    <row r="12" spans="1:3">
      <c r="A12" t="str">
        <f>IF('Item Totals'!A12="","",'Item Totals'!B12)</f>
        <v>Dessert</v>
      </c>
      <c r="B12" t="str">
        <f>IF('Item Totals'!A12="","",'Item Totals'!A12)</f>
        <v>Rosewater Baklava</v>
      </c>
      <c r="C12">
        <f>IF('Item Totals'!A12="","",'Item Totals'!F12)</f>
        <v>0</v>
      </c>
    </row>
    <row r="13" spans="1:3">
      <c r="A13" t="str">
        <f>IF('Item Totals'!A13="","",'Item Totals'!B13)</f>
        <v>Dessert</v>
      </c>
      <c r="B13" t="str">
        <f>IF('Item Totals'!A13="","",'Item Totals'!A13)</f>
        <v>Bread &amp; Butter Pudding</v>
      </c>
      <c r="C13">
        <f>IF('Item Totals'!A13="","",'Item Totals'!F13)</f>
        <v>0</v>
      </c>
    </row>
    <row r="14" spans="1:3">
      <c r="A14" t="str">
        <f>IF('Item Totals'!A14="","",'Item Totals'!B14)</f>
        <v/>
      </c>
      <c r="B14" t="str">
        <f>IF('Item Totals'!A14="","",'Item Totals'!A14)</f>
        <v/>
      </c>
      <c r="C14" t="str">
        <f>IF('Item Totals'!A14="","",'Item Totals'!F14)</f>
        <v/>
      </c>
    </row>
    <row r="15" spans="1:3">
      <c r="A15" t="str">
        <f>IF('Item Totals'!A15="","",'Item Totals'!B15)</f>
        <v/>
      </c>
      <c r="B15" t="str">
        <f>IF('Item Totals'!A15="","",'Item Totals'!A15)</f>
        <v/>
      </c>
      <c r="C15" t="str">
        <f>IF('Item Totals'!A15="","",'Item Totals'!F15)</f>
        <v/>
      </c>
    </row>
    <row r="16" spans="1:3">
      <c r="A16" t="str">
        <f>IF('Item Totals'!A16="","",'Item Totals'!B16)</f>
        <v/>
      </c>
      <c r="B16" t="str">
        <f>IF('Item Totals'!A16="","",'Item Totals'!A16)</f>
        <v/>
      </c>
      <c r="C16" t="str">
        <f>IF('Item Totals'!A16="","",'Item Totals'!F16)</f>
        <v/>
      </c>
    </row>
    <row r="17" spans="1:3">
      <c r="A17" t="str">
        <f>IF('Item Totals'!A17="","",'Item Totals'!B17)</f>
        <v/>
      </c>
      <c r="B17" t="str">
        <f>IF('Item Totals'!A17="","",'Item Totals'!A17)</f>
        <v/>
      </c>
      <c r="C17" t="str">
        <f>IF('Item Totals'!A17="","",'Item Totals'!F17)</f>
        <v/>
      </c>
    </row>
    <row r="18" spans="1:3">
      <c r="A18" t="str">
        <f>IF('Item Totals'!A18="","",'Item Totals'!B18)</f>
        <v/>
      </c>
      <c r="B18" t="str">
        <f>IF('Item Totals'!A18="","",'Item Totals'!A18)</f>
        <v/>
      </c>
      <c r="C18" t="str">
        <f>IF('Item Totals'!A18="","",'Item Totals'!F18)</f>
        <v/>
      </c>
    </row>
    <row r="19" spans="1:3">
      <c r="A19" t="str">
        <f>IF('Item Totals'!A19="","",'Item Totals'!B19)</f>
        <v/>
      </c>
      <c r="B19" t="str">
        <f>IF('Item Totals'!A19="","",'Item Totals'!A19)</f>
        <v/>
      </c>
      <c r="C19" t="str">
        <f>IF('Item Totals'!A19="","",'Item Totals'!F19)</f>
        <v/>
      </c>
    </row>
    <row r="20" spans="1:3">
      <c r="A20" t="str">
        <f>IF('Item Totals'!A20="","",'Item Totals'!B20)</f>
        <v/>
      </c>
      <c r="B20" t="str">
        <f>IF('Item Totals'!A20="","",'Item Totals'!A20)</f>
        <v/>
      </c>
      <c r="C20" t="str">
        <f>IF('Item Totals'!A20="","",'Item Totals'!F20)</f>
        <v/>
      </c>
    </row>
    <row r="21" spans="1:3">
      <c r="A21" t="str">
        <f>IF('Item Totals'!A21="","",'Item Totals'!B21)</f>
        <v/>
      </c>
      <c r="B21" t="str">
        <f>IF('Item Totals'!A21="","",'Item Totals'!A21)</f>
        <v/>
      </c>
      <c r="C21" t="str">
        <f>IF('Item Totals'!A21="","",'Item Totals'!F21)</f>
        <v/>
      </c>
    </row>
    <row r="22" spans="1:3">
      <c r="A22" t="str">
        <f>IF('Item Totals'!A22="","",'Item Totals'!B22)</f>
        <v/>
      </c>
      <c r="B22" t="str">
        <f>IF('Item Totals'!A22="","",'Item Totals'!A22)</f>
        <v/>
      </c>
      <c r="C22" t="str">
        <f>IF('Item Totals'!A22="","",'Item Totals'!F22)</f>
        <v/>
      </c>
    </row>
    <row r="23" spans="1:3">
      <c r="A23" t="str">
        <f>IF('Item Totals'!A23="","",'Item Totals'!B23)</f>
        <v/>
      </c>
      <c r="B23" t="str">
        <f>IF('Item Totals'!A23="","",'Item Totals'!A23)</f>
        <v/>
      </c>
      <c r="C23" t="str">
        <f>IF('Item Totals'!A23="","",'Item Totals'!F23)</f>
        <v/>
      </c>
    </row>
    <row r="24" spans="1:3">
      <c r="A24" t="str">
        <f>IF('Item Totals'!A24="","",'Item Totals'!B24)</f>
        <v/>
      </c>
      <c r="B24" t="str">
        <f>IF('Item Totals'!A24="","",'Item Totals'!A24)</f>
        <v/>
      </c>
      <c r="C24" t="str">
        <f>IF('Item Totals'!A24="","",'Item Totals'!F24)</f>
        <v/>
      </c>
    </row>
    <row r="25" spans="1:3">
      <c r="A25" t="str">
        <f>IF('Item Totals'!A25="","",'Item Totals'!B25)</f>
        <v/>
      </c>
      <c r="B25" t="str">
        <f>IF('Item Totals'!A25="","",'Item Totals'!A25)</f>
        <v/>
      </c>
      <c r="C25" t="str">
        <f>IF('Item Totals'!A25="","",'Item Totals'!F25)</f>
        <v/>
      </c>
    </row>
    <row r="26" spans="1:3">
      <c r="A26" t="str">
        <f>IF('Item Totals'!A26="","",'Item Totals'!B26)</f>
        <v/>
      </c>
      <c r="B26" t="str">
        <f>IF('Item Totals'!A26="","",'Item Totals'!A26)</f>
        <v/>
      </c>
      <c r="C26" t="str">
        <f>IF('Item Totals'!A26="","",'Item Totals'!F26)</f>
        <v/>
      </c>
    </row>
    <row r="27" spans="1:3">
      <c r="A27" t="str">
        <f>IF('Item Totals'!A27="","",'Item Totals'!B27)</f>
        <v/>
      </c>
      <c r="B27" t="str">
        <f>IF('Item Totals'!A27="","",'Item Totals'!A27)</f>
        <v/>
      </c>
      <c r="C27" t="str">
        <f>IF('Item Totals'!A27="","",'Item Totals'!F27)</f>
        <v/>
      </c>
    </row>
    <row r="28" spans="1:3">
      <c r="A28" t="str">
        <f>IF('Item Totals'!A28="","",'Item Totals'!B28)</f>
        <v/>
      </c>
      <c r="B28" t="str">
        <f>IF('Item Totals'!A28="","",'Item Totals'!A28)</f>
        <v/>
      </c>
      <c r="C28" t="str">
        <f>IF('Item Totals'!A28="","",'Item Totals'!F28)</f>
        <v/>
      </c>
    </row>
    <row r="29" spans="1:3">
      <c r="A29" t="str">
        <f>IF('Item Totals'!A29="","",'Item Totals'!B29)</f>
        <v/>
      </c>
      <c r="B29" t="str">
        <f>IF('Item Totals'!A29="","",'Item Totals'!A29)</f>
        <v/>
      </c>
      <c r="C29" t="str">
        <f>IF('Item Totals'!A29="","",'Item Totals'!F29)</f>
        <v/>
      </c>
    </row>
    <row r="30" spans="1:3">
      <c r="A30" t="str">
        <f>IF('Item Totals'!A30="","",'Item Totals'!B30)</f>
        <v/>
      </c>
      <c r="B30" t="str">
        <f>IF('Item Totals'!A30="","",'Item Totals'!A30)</f>
        <v/>
      </c>
      <c r="C30" t="str">
        <f>IF('Item Totals'!A30="","",'Item Totals'!F30)</f>
        <v/>
      </c>
    </row>
    <row r="31" spans="1:3">
      <c r="A31" t="str">
        <f>IF('Item Totals'!A31="","",'Item Totals'!B31)</f>
        <v/>
      </c>
      <c r="B31" t="str">
        <f>IF('Item Totals'!A31="","",'Item Totals'!A31)</f>
        <v/>
      </c>
      <c r="C31" t="str">
        <f>IF('Item Totals'!A31="","",'Item Totals'!F31)</f>
        <v/>
      </c>
    </row>
    <row r="32" spans="1:3">
      <c r="A32" t="str">
        <f>IF('Item Totals'!A32="","",'Item Totals'!B32)</f>
        <v/>
      </c>
      <c r="B32" t="str">
        <f>IF('Item Totals'!A32="","",'Item Totals'!A32)</f>
        <v/>
      </c>
      <c r="C32" t="str">
        <f>IF('Item Totals'!A32="","",'Item Totals'!F32)</f>
        <v/>
      </c>
    </row>
    <row r="33" spans="1:3">
      <c r="A33" t="str">
        <f>IF('Item Totals'!A33="","",'Item Totals'!B33)</f>
        <v/>
      </c>
      <c r="B33" t="str">
        <f>IF('Item Totals'!A33="","",'Item Totals'!A33)</f>
        <v/>
      </c>
      <c r="C33" t="str">
        <f>IF('Item Totals'!A33="","",'Item Totals'!F33)</f>
        <v/>
      </c>
    </row>
    <row r="34" spans="1:3">
      <c r="A34" t="str">
        <f>IF('Item Totals'!A34="","",'Item Totals'!B34)</f>
        <v/>
      </c>
      <c r="B34" t="str">
        <f>IF('Item Totals'!A34="","",'Item Totals'!A34)</f>
        <v/>
      </c>
      <c r="C34" t="str">
        <f>IF('Item Totals'!A34="","",'Item Totals'!F34)</f>
        <v/>
      </c>
    </row>
    <row r="35" spans="1:3">
      <c r="A35" t="str">
        <f>IF('Item Totals'!A35="","",'Item Totals'!B35)</f>
        <v/>
      </c>
      <c r="B35" t="str">
        <f>IF('Item Totals'!A35="","",'Item Totals'!A35)</f>
        <v/>
      </c>
      <c r="C35" t="str">
        <f>IF('Item Totals'!A35="","",'Item Totals'!F35)</f>
        <v/>
      </c>
    </row>
    <row r="36" spans="1:3">
      <c r="A36" t="str">
        <f>IF('Item Totals'!A36="","",'Item Totals'!B36)</f>
        <v/>
      </c>
      <c r="B36" t="str">
        <f>IF('Item Totals'!A36="","",'Item Totals'!A36)</f>
        <v/>
      </c>
      <c r="C36" t="str">
        <f>IF('Item Totals'!A36="","",'Item Totals'!F36)</f>
        <v/>
      </c>
    </row>
    <row r="37" spans="1:3">
      <c r="A37" t="str">
        <f>IF('Item Totals'!A37="","",'Item Totals'!B37)</f>
        <v/>
      </c>
      <c r="B37" t="str">
        <f>IF('Item Totals'!A37="","",'Item Totals'!A37)</f>
        <v/>
      </c>
      <c r="C37" t="str">
        <f>IF('Item Totals'!A37="","",'Item Totals'!F37)</f>
        <v/>
      </c>
    </row>
    <row r="38" spans="1:3">
      <c r="A38" t="str">
        <f>IF('Item Totals'!A38="","",'Item Totals'!B38)</f>
        <v/>
      </c>
      <c r="B38" t="str">
        <f>IF('Item Totals'!A38="","",'Item Totals'!A38)</f>
        <v/>
      </c>
      <c r="C38" t="str">
        <f>IF('Item Totals'!A38="","",'Item Totals'!F38)</f>
        <v/>
      </c>
    </row>
    <row r="39" spans="1:3">
      <c r="A39" t="str">
        <f>IF('Item Totals'!A39="","",'Item Totals'!B39)</f>
        <v/>
      </c>
      <c r="B39" t="str">
        <f>IF('Item Totals'!A39="","",'Item Totals'!A39)</f>
        <v/>
      </c>
      <c r="C39" t="str">
        <f>IF('Item Totals'!A39="","",'Item Totals'!F39)</f>
        <v/>
      </c>
    </row>
    <row r="40" spans="1:3">
      <c r="A40" t="str">
        <f>IF('Item Totals'!A40="","",'Item Totals'!B40)</f>
        <v/>
      </c>
      <c r="B40" t="str">
        <f>IF('Item Totals'!A40="","",'Item Totals'!A40)</f>
        <v/>
      </c>
      <c r="C40" t="str">
        <f>IF('Item Totals'!A40="","",'Item Totals'!F40)</f>
        <v/>
      </c>
    </row>
    <row r="41" spans="1:3">
      <c r="A41" t="str">
        <f>IF('Item Totals'!A41="","",'Item Totals'!B41)</f>
        <v/>
      </c>
      <c r="B41" t="str">
        <f>IF('Item Totals'!A41="","",'Item Totals'!A41)</f>
        <v/>
      </c>
      <c r="C41" t="str">
        <f>IF('Item Totals'!A41="","",'Item Totals'!F41)</f>
        <v/>
      </c>
    </row>
    <row r="42" spans="1:3">
      <c r="A42" t="str">
        <f>IF('Item Totals'!A42="","",'Item Totals'!B42)</f>
        <v/>
      </c>
      <c r="B42" t="str">
        <f>IF('Item Totals'!A42="","",'Item Totals'!A42)</f>
        <v/>
      </c>
      <c r="C42" t="str">
        <f>IF('Item Totals'!A42="","",'Item Totals'!F42)</f>
        <v/>
      </c>
    </row>
    <row r="43" spans="1:3">
      <c r="A43" t="str">
        <f>IF('Item Totals'!A43="","",'Item Totals'!B43)</f>
        <v/>
      </c>
      <c r="B43" t="str">
        <f>IF('Item Totals'!A43="","",'Item Totals'!A43)</f>
        <v/>
      </c>
      <c r="C43" t="str">
        <f>IF('Item Totals'!A43="","",'Item Totals'!F43)</f>
        <v/>
      </c>
    </row>
    <row r="44" spans="1:3">
      <c r="A44" t="str">
        <f>IF('Item Totals'!A44="","",'Item Totals'!B44)</f>
        <v/>
      </c>
      <c r="B44" t="str">
        <f>IF('Item Totals'!A44="","",'Item Totals'!A44)</f>
        <v/>
      </c>
      <c r="C44" t="str">
        <f>IF('Item Totals'!A44="","",'Item Totals'!F44)</f>
        <v/>
      </c>
    </row>
    <row r="45" spans="1:3">
      <c r="A45" t="str">
        <f>IF('Item Totals'!A45="","",'Item Totals'!B45)</f>
        <v/>
      </c>
      <c r="B45" t="str">
        <f>IF('Item Totals'!A45="","",'Item Totals'!A45)</f>
        <v/>
      </c>
      <c r="C45" t="str">
        <f>IF('Item Totals'!A45="","",'Item Totals'!F45)</f>
        <v/>
      </c>
    </row>
    <row r="46" spans="1:3">
      <c r="A46" t="str">
        <f>IF('Item Totals'!A46="","",'Item Totals'!B46)</f>
        <v/>
      </c>
      <c r="B46" t="str">
        <f>IF('Item Totals'!A46="","",'Item Totals'!A46)</f>
        <v/>
      </c>
      <c r="C46" t="str">
        <f>IF('Item Totals'!A46="","",'Item Totals'!F46)</f>
        <v/>
      </c>
    </row>
    <row r="47" spans="1:3">
      <c r="A47" t="str">
        <f>IF('Item Totals'!A47="","",'Item Totals'!B47)</f>
        <v/>
      </c>
      <c r="B47" t="str">
        <f>IF('Item Totals'!A47="","",'Item Totals'!A47)</f>
        <v/>
      </c>
      <c r="C47" t="str">
        <f>IF('Item Totals'!A47="","",'Item Totals'!F47)</f>
        <v/>
      </c>
    </row>
    <row r="48" spans="1:3">
      <c r="A48" t="str">
        <f>IF('Item Totals'!A48="","",'Item Totals'!B48)</f>
        <v/>
      </c>
      <c r="B48" t="str">
        <f>IF('Item Totals'!A48="","",'Item Totals'!A48)</f>
        <v/>
      </c>
      <c r="C48" t="str">
        <f>IF('Item Totals'!A48="","",'Item Totals'!F48)</f>
        <v/>
      </c>
    </row>
    <row r="49" spans="1:3">
      <c r="A49" t="str">
        <f>IF('Item Totals'!A49="","",'Item Totals'!B49)</f>
        <v/>
      </c>
      <c r="B49" t="str">
        <f>IF('Item Totals'!A49="","",'Item Totals'!A49)</f>
        <v/>
      </c>
      <c r="C49" t="str">
        <f>IF('Item Totals'!A49="","",'Item Totals'!F49)</f>
        <v/>
      </c>
    </row>
    <row r="50" spans="1:3">
      <c r="A50" t="str">
        <f>IF('Item Totals'!A50="","",'Item Totals'!B50)</f>
        <v/>
      </c>
      <c r="B50" t="str">
        <f>IF('Item Totals'!A50="","",'Item Totals'!A50)</f>
        <v/>
      </c>
      <c r="C50" t="str">
        <f>IF('Item Totals'!A50="","",'Item Totals'!F50)</f>
        <v/>
      </c>
    </row>
    <row r="51" spans="1:3">
      <c r="A51" t="str">
        <f>IF('Item Totals'!A51="","",'Item Totals'!B51)</f>
        <v/>
      </c>
      <c r="B51" t="str">
        <f>IF('Item Totals'!A51="","",'Item Totals'!A51)</f>
        <v/>
      </c>
      <c r="C51" t="str">
        <f>IF('Item Totals'!A51="","",'Item Totals'!F51)</f>
        <v/>
      </c>
    </row>
    <row r="52" spans="1:3">
      <c r="A52" t="str">
        <f>IF('Item Totals'!A52="","",'Item Totals'!B52)</f>
        <v/>
      </c>
      <c r="B52" t="str">
        <f>IF('Item Totals'!A52="","",'Item Totals'!A52)</f>
        <v/>
      </c>
      <c r="C52" t="str">
        <f>IF('Item Totals'!A52="","",'Item Totals'!F52)</f>
        <v/>
      </c>
    </row>
    <row r="53" spans="1:3">
      <c r="A53" t="str">
        <f>IF('Item Totals'!A53="","",'Item Totals'!B53)</f>
        <v/>
      </c>
      <c r="B53" t="str">
        <f>IF('Item Totals'!A53="","",'Item Totals'!A53)</f>
        <v/>
      </c>
      <c r="C53" t="str">
        <f>IF('Item Totals'!A53="","",'Item Totals'!F53)</f>
        <v/>
      </c>
    </row>
    <row r="54" spans="1:3">
      <c r="A54" t="str">
        <f>IF('Item Totals'!A54="","",'Item Totals'!B54)</f>
        <v/>
      </c>
      <c r="B54" t="str">
        <f>IF('Item Totals'!A54="","",'Item Totals'!A54)</f>
        <v/>
      </c>
      <c r="C54" t="str">
        <f>IF('Item Totals'!A54="","",'Item Totals'!F54)</f>
        <v/>
      </c>
    </row>
    <row r="55" spans="1:3">
      <c r="A55" t="str">
        <f>IF('Item Totals'!A55="","",'Item Totals'!B55)</f>
        <v/>
      </c>
      <c r="B55" t="str">
        <f>IF('Item Totals'!A55="","",'Item Totals'!A55)</f>
        <v/>
      </c>
      <c r="C55" t="str">
        <f>IF('Item Totals'!A55="","",'Item Totals'!F55)</f>
        <v/>
      </c>
    </row>
    <row r="56" spans="1:3">
      <c r="A56" t="str">
        <f>IF('Item Totals'!A56="","",'Item Totals'!B56)</f>
        <v/>
      </c>
      <c r="B56" t="str">
        <f>IF('Item Totals'!A56="","",'Item Totals'!A56)</f>
        <v/>
      </c>
      <c r="C56" t="str">
        <f>IF('Item Totals'!A56="","",'Item Totals'!F56)</f>
        <v/>
      </c>
    </row>
    <row r="57" spans="1:3">
      <c r="A57" t="str">
        <f>IF('Item Totals'!A57="","",'Item Totals'!B57)</f>
        <v/>
      </c>
      <c r="B57" t="str">
        <f>IF('Item Totals'!A57="","",'Item Totals'!A57)</f>
        <v/>
      </c>
      <c r="C57" t="str">
        <f>IF('Item Totals'!A57="","",'Item Totals'!F57)</f>
        <v/>
      </c>
    </row>
    <row r="58" spans="1:3">
      <c r="A58" t="str">
        <f>IF('Item Totals'!A58="","",'Item Totals'!B58)</f>
        <v/>
      </c>
      <c r="B58" t="str">
        <f>IF('Item Totals'!A58="","",'Item Totals'!A58)</f>
        <v/>
      </c>
      <c r="C58" t="str">
        <f>IF('Item Totals'!A58="","",'Item Totals'!F58)</f>
        <v/>
      </c>
    </row>
    <row r="59" spans="1:3">
      <c r="A59" t="str">
        <f>IF('Item Totals'!A59="","",'Item Totals'!B59)</f>
        <v/>
      </c>
      <c r="B59" t="str">
        <f>IF('Item Totals'!A59="","",'Item Totals'!A59)</f>
        <v/>
      </c>
      <c r="C59" t="str">
        <f>IF('Item Totals'!A59="","",'Item Totals'!F59)</f>
        <v/>
      </c>
    </row>
    <row r="60" spans="1:3">
      <c r="A60" t="str">
        <f>IF('Item Totals'!A60="","",'Item Totals'!B60)</f>
        <v/>
      </c>
      <c r="B60" t="str">
        <f>IF('Item Totals'!A60="","",'Item Totals'!A60)</f>
        <v/>
      </c>
      <c r="C60" t="str">
        <f>IF('Item Totals'!A60="","",'Item Totals'!F60)</f>
        <v/>
      </c>
    </row>
    <row r="61" spans="1:3">
      <c r="A61" t="str">
        <f>IF('Item Totals'!A61="","",'Item Totals'!B61)</f>
        <v/>
      </c>
      <c r="B61" t="str">
        <f>IF('Item Totals'!A61="","",'Item Totals'!A61)</f>
        <v/>
      </c>
      <c r="C61" t="str">
        <f>IF('Item Totals'!A61="","",'Item Totals'!F61)</f>
        <v/>
      </c>
    </row>
    <row r="62" spans="1:3">
      <c r="A62" t="str">
        <f>IF('Item Totals'!A62="","",'Item Totals'!B62)</f>
        <v/>
      </c>
      <c r="B62" t="str">
        <f>IF('Item Totals'!A62="","",'Item Totals'!A62)</f>
        <v/>
      </c>
      <c r="C62" t="str">
        <f>IF('Item Totals'!A62="","",'Item Totals'!F62)</f>
        <v/>
      </c>
    </row>
    <row r="63" spans="1:3">
      <c r="A63" t="str">
        <f>IF('Item Totals'!A63="","",'Item Totals'!B63)</f>
        <v/>
      </c>
      <c r="B63" t="str">
        <f>IF('Item Totals'!A63="","",'Item Totals'!A63)</f>
        <v/>
      </c>
      <c r="C63" t="str">
        <f>IF('Item Totals'!A63="","",'Item Totals'!F63)</f>
        <v/>
      </c>
    </row>
    <row r="64" spans="1:3">
      <c r="A64" t="str">
        <f>IF('Item Totals'!A64="","",'Item Totals'!B64)</f>
        <v/>
      </c>
      <c r="B64" t="str">
        <f>IF('Item Totals'!A64="","",'Item Totals'!A64)</f>
        <v/>
      </c>
      <c r="C64" t="str">
        <f>IF('Item Totals'!A64="","",'Item Totals'!F64)</f>
        <v/>
      </c>
    </row>
    <row r="65" spans="1:3">
      <c r="A65" t="str">
        <f>IF('Item Totals'!A65="","",'Item Totals'!B65)</f>
        <v/>
      </c>
      <c r="B65" t="str">
        <f>IF('Item Totals'!A65="","",'Item Totals'!A65)</f>
        <v/>
      </c>
      <c r="C65" t="str">
        <f>IF('Item Totals'!A65="","",'Item Totals'!F65)</f>
        <v/>
      </c>
    </row>
    <row r="66" spans="1:3">
      <c r="A66" t="str">
        <f>IF('Item Totals'!A66="","",'Item Totals'!B66)</f>
        <v/>
      </c>
      <c r="B66" t="str">
        <f>IF('Item Totals'!A66="","",'Item Totals'!A66)</f>
        <v/>
      </c>
      <c r="C66" t="str">
        <f>IF('Item Totals'!A66="","",'Item Totals'!F66)</f>
        <v/>
      </c>
    </row>
    <row r="67" spans="1:3">
      <c r="A67" t="str">
        <f>IF('Item Totals'!A67="","",'Item Totals'!B67)</f>
        <v/>
      </c>
      <c r="B67" t="str">
        <f>IF('Item Totals'!A67="","",'Item Totals'!A67)</f>
        <v/>
      </c>
      <c r="C67" t="str">
        <f>IF('Item Totals'!A67="","",'Item Totals'!F67)</f>
        <v/>
      </c>
    </row>
    <row r="68" spans="1:3">
      <c r="A68" t="str">
        <f>IF('Item Totals'!A68="","",'Item Totals'!B68)</f>
        <v/>
      </c>
      <c r="B68" t="str">
        <f>IF('Item Totals'!A68="","",'Item Totals'!A68)</f>
        <v/>
      </c>
      <c r="C68" t="str">
        <f>IF('Item Totals'!A68="","",'Item Totals'!F68)</f>
        <v/>
      </c>
    </row>
    <row r="69" spans="1:3">
      <c r="A69" t="str">
        <f>IF('Item Totals'!A69="","",'Item Totals'!B69)</f>
        <v/>
      </c>
      <c r="B69" t="str">
        <f>IF('Item Totals'!A69="","",'Item Totals'!A69)</f>
        <v/>
      </c>
      <c r="C69" t="str">
        <f>IF('Item Totals'!A69="","",'Item Totals'!F69)</f>
        <v/>
      </c>
    </row>
    <row r="70" spans="1:3">
      <c r="A70" t="str">
        <f>IF('Item Totals'!A70="","",'Item Totals'!B70)</f>
        <v/>
      </c>
      <c r="B70" t="str">
        <f>IF('Item Totals'!A70="","",'Item Totals'!A70)</f>
        <v/>
      </c>
      <c r="C70" t="str">
        <f>IF('Item Totals'!A70="","",'Item Totals'!F70)</f>
        <v/>
      </c>
    </row>
    <row r="71" spans="1:3">
      <c r="A71" t="str">
        <f>IF('Item Totals'!A71="","",'Item Totals'!B71)</f>
        <v/>
      </c>
      <c r="B71" t="str">
        <f>IF('Item Totals'!A71="","",'Item Totals'!A71)</f>
        <v/>
      </c>
      <c r="C71" t="str">
        <f>IF('Item Totals'!A71="","",'Item Totals'!F71)</f>
        <v/>
      </c>
    </row>
    <row r="72" spans="1:3">
      <c r="A72" t="str">
        <f>IF('Item Totals'!A72="","",'Item Totals'!B72)</f>
        <v/>
      </c>
      <c r="B72" t="str">
        <f>IF('Item Totals'!A72="","",'Item Totals'!A72)</f>
        <v/>
      </c>
      <c r="C72" t="str">
        <f>IF('Item Totals'!A72="","",'Item Totals'!F72)</f>
        <v/>
      </c>
    </row>
    <row r="73" spans="1:3">
      <c r="A73" t="str">
        <f>IF('Item Totals'!A73="","",'Item Totals'!B73)</f>
        <v/>
      </c>
      <c r="B73" t="str">
        <f>IF('Item Totals'!A73="","",'Item Totals'!A73)</f>
        <v/>
      </c>
      <c r="C73" t="str">
        <f>IF('Item Totals'!A73="","",'Item Totals'!F73)</f>
        <v/>
      </c>
    </row>
    <row r="74" spans="1:3">
      <c r="A74" t="str">
        <f>IF('Item Totals'!A74="","",'Item Totals'!B74)</f>
        <v/>
      </c>
      <c r="B74" t="str">
        <f>IF('Item Totals'!A74="","",'Item Totals'!A74)</f>
        <v/>
      </c>
      <c r="C74" t="str">
        <f>IF('Item Totals'!A74="","",'Item Totals'!F74)</f>
        <v/>
      </c>
    </row>
    <row r="75" spans="1:3">
      <c r="A75" t="str">
        <f>IF('Item Totals'!A75="","",'Item Totals'!B75)</f>
        <v/>
      </c>
      <c r="B75" t="str">
        <f>IF('Item Totals'!A75="","",'Item Totals'!A75)</f>
        <v/>
      </c>
      <c r="C75" t="str">
        <f>IF('Item Totals'!A75="","",'Item Totals'!F75)</f>
        <v/>
      </c>
    </row>
    <row r="76" spans="1:3">
      <c r="A76" t="str">
        <f>IF('Item Totals'!A76="","",'Item Totals'!B76)</f>
        <v/>
      </c>
      <c r="B76" t="str">
        <f>IF('Item Totals'!A76="","",'Item Totals'!A76)</f>
        <v/>
      </c>
      <c r="C76" t="str">
        <f>IF('Item Totals'!A76="","",'Item Totals'!F76)</f>
        <v/>
      </c>
    </row>
    <row r="77" spans="1:3">
      <c r="A77" t="str">
        <f>IF('Item Totals'!A77="","",'Item Totals'!B77)</f>
        <v/>
      </c>
      <c r="B77" t="str">
        <f>IF('Item Totals'!A77="","",'Item Totals'!A77)</f>
        <v/>
      </c>
      <c r="C77" t="str">
        <f>IF('Item Totals'!A77="","",'Item Totals'!F77)</f>
        <v/>
      </c>
    </row>
    <row r="78" spans="1:3">
      <c r="A78" t="str">
        <f>IF('Item Totals'!A78="","",'Item Totals'!B78)</f>
        <v/>
      </c>
      <c r="B78" t="str">
        <f>IF('Item Totals'!A78="","",'Item Totals'!A78)</f>
        <v/>
      </c>
      <c r="C78" t="str">
        <f>IF('Item Totals'!A78="","",'Item Totals'!F78)</f>
        <v/>
      </c>
    </row>
    <row r="79" spans="1:3">
      <c r="A79" t="str">
        <f>IF('Item Totals'!A79="","",'Item Totals'!B79)</f>
        <v/>
      </c>
      <c r="B79" t="str">
        <f>IF('Item Totals'!A79="","",'Item Totals'!A79)</f>
        <v/>
      </c>
      <c r="C79" t="str">
        <f>IF('Item Totals'!A79="","",'Item Totals'!F79)</f>
        <v/>
      </c>
    </row>
    <row r="80" spans="1:3">
      <c r="A80" t="str">
        <f>IF('Item Totals'!A80="","",'Item Totals'!B80)</f>
        <v/>
      </c>
      <c r="B80" t="str">
        <f>IF('Item Totals'!A80="","",'Item Totals'!A80)</f>
        <v/>
      </c>
      <c r="C80" t="str">
        <f>IF('Item Totals'!A80="","",'Item Totals'!F80)</f>
        <v/>
      </c>
    </row>
    <row r="81" spans="1:3">
      <c r="A81" t="str">
        <f>IF('Item Totals'!A81="","",'Item Totals'!B81)</f>
        <v/>
      </c>
      <c r="B81" t="str">
        <f>IF('Item Totals'!A81="","",'Item Totals'!A81)</f>
        <v/>
      </c>
      <c r="C81" t="str">
        <f>IF('Item Totals'!A81="","",'Item Totals'!F81)</f>
        <v/>
      </c>
    </row>
    <row r="82" spans="1:3">
      <c r="A82" t="str">
        <f>IF('Item Totals'!A82="","",'Item Totals'!B82)</f>
        <v/>
      </c>
      <c r="B82" t="str">
        <f>IF('Item Totals'!A82="","",'Item Totals'!A82)</f>
        <v/>
      </c>
      <c r="C82" t="str">
        <f>IF('Item Totals'!A82="","",'Item Totals'!F82)</f>
        <v/>
      </c>
    </row>
    <row r="83" spans="1:3">
      <c r="A83" t="str">
        <f>IF('Item Totals'!A83="","",'Item Totals'!B83)</f>
        <v/>
      </c>
      <c r="B83" t="str">
        <f>IF('Item Totals'!A83="","",'Item Totals'!A83)</f>
        <v/>
      </c>
      <c r="C83" t="str">
        <f>IF('Item Totals'!A83="","",'Item Totals'!F83)</f>
        <v/>
      </c>
    </row>
    <row r="84" spans="1:3">
      <c r="A84" t="str">
        <f>IF('Item Totals'!A84="","",'Item Totals'!B84)</f>
        <v/>
      </c>
      <c r="B84" t="str">
        <f>IF('Item Totals'!A84="","",'Item Totals'!A84)</f>
        <v/>
      </c>
      <c r="C84" t="str">
        <f>IF('Item Totals'!A84="","",'Item Totals'!F84)</f>
        <v/>
      </c>
    </row>
    <row r="85" spans="1:3">
      <c r="A85" t="str">
        <f>IF('Item Totals'!A85="","",'Item Totals'!B85)</f>
        <v/>
      </c>
      <c r="B85" t="str">
        <f>IF('Item Totals'!A85="","",'Item Totals'!A85)</f>
        <v/>
      </c>
      <c r="C85" t="str">
        <f>IF('Item Totals'!A85="","",'Item Totals'!F85)</f>
        <v/>
      </c>
    </row>
    <row r="86" spans="1:3">
      <c r="A86" t="str">
        <f>IF('Item Totals'!A86="","",'Item Totals'!B86)</f>
        <v/>
      </c>
      <c r="B86" t="str">
        <f>IF('Item Totals'!A86="","",'Item Totals'!A86)</f>
        <v/>
      </c>
      <c r="C86" t="str">
        <f>IF('Item Totals'!A86="","",'Item Totals'!F86)</f>
        <v/>
      </c>
    </row>
    <row r="87" spans="1:3">
      <c r="A87" t="str">
        <f>IF('Item Totals'!A87="","",'Item Totals'!B87)</f>
        <v/>
      </c>
      <c r="B87" t="str">
        <f>IF('Item Totals'!A87="","",'Item Totals'!A87)</f>
        <v/>
      </c>
      <c r="C87" t="str">
        <f>IF('Item Totals'!A87="","",'Item Totals'!F87)</f>
        <v/>
      </c>
    </row>
    <row r="88" spans="1:3">
      <c r="A88" t="str">
        <f>IF('Item Totals'!A88="","",'Item Totals'!B88)</f>
        <v/>
      </c>
      <c r="B88" t="str">
        <f>IF('Item Totals'!A88="","",'Item Totals'!A88)</f>
        <v/>
      </c>
      <c r="C88" t="str">
        <f>IF('Item Totals'!A88="","",'Item Totals'!F88)</f>
        <v/>
      </c>
    </row>
    <row r="89" spans="1:3">
      <c r="A89" t="str">
        <f>IF('Item Totals'!A89="","",'Item Totals'!B89)</f>
        <v/>
      </c>
      <c r="B89" t="str">
        <f>IF('Item Totals'!A89="","",'Item Totals'!A89)</f>
        <v/>
      </c>
      <c r="C89" t="str">
        <f>IF('Item Totals'!A89="","",'Item Totals'!F89)</f>
        <v/>
      </c>
    </row>
    <row r="90" spans="1:3">
      <c r="A90" t="str">
        <f>IF('Item Totals'!A90="","",'Item Totals'!B90)</f>
        <v/>
      </c>
      <c r="B90" t="str">
        <f>IF('Item Totals'!A90="","",'Item Totals'!A90)</f>
        <v/>
      </c>
      <c r="C90" t="str">
        <f>IF('Item Totals'!A90="","",'Item Totals'!F90)</f>
        <v/>
      </c>
    </row>
    <row r="91" spans="1:3">
      <c r="A91" t="str">
        <f>IF('Item Totals'!A91="","",'Item Totals'!B91)</f>
        <v/>
      </c>
      <c r="B91" t="str">
        <f>IF('Item Totals'!A91="","",'Item Totals'!A91)</f>
        <v/>
      </c>
      <c r="C91" t="str">
        <f>IF('Item Totals'!A91="","",'Item Totals'!F91)</f>
        <v/>
      </c>
    </row>
    <row r="92" spans="1:3">
      <c r="A92" t="str">
        <f>IF('Item Totals'!A92="","",'Item Totals'!B92)</f>
        <v/>
      </c>
      <c r="B92" t="str">
        <f>IF('Item Totals'!A92="","",'Item Totals'!A92)</f>
        <v/>
      </c>
      <c r="C92" t="str">
        <f>IF('Item Totals'!A92="","",'Item Totals'!F92)</f>
        <v/>
      </c>
    </row>
    <row r="93" spans="1:3">
      <c r="A93" t="str">
        <f>IF('Item Totals'!A93="","",'Item Totals'!B93)</f>
        <v/>
      </c>
      <c r="B93" t="str">
        <f>IF('Item Totals'!A93="","",'Item Totals'!A93)</f>
        <v/>
      </c>
      <c r="C93" t="str">
        <f>IF('Item Totals'!A93="","",'Item Totals'!F93)</f>
        <v/>
      </c>
    </row>
    <row r="94" spans="1:3">
      <c r="A94" t="str">
        <f>IF('Item Totals'!A94="","",'Item Totals'!B94)</f>
        <v/>
      </c>
      <c r="B94" t="str">
        <f>IF('Item Totals'!A94="","",'Item Totals'!A94)</f>
        <v/>
      </c>
      <c r="C94" t="str">
        <f>IF('Item Totals'!A94="","",'Item Totals'!F94)</f>
        <v/>
      </c>
    </row>
    <row r="95" spans="1:3">
      <c r="A95" t="str">
        <f>IF('Item Totals'!A95="","",'Item Totals'!B95)</f>
        <v/>
      </c>
      <c r="B95" t="str">
        <f>IF('Item Totals'!A95="","",'Item Totals'!A95)</f>
        <v/>
      </c>
      <c r="C95" t="str">
        <f>IF('Item Totals'!A95="","",'Item Totals'!F95)</f>
        <v/>
      </c>
    </row>
    <row r="96" spans="1:3">
      <c r="A96" t="str">
        <f>IF('Item Totals'!A96="","",'Item Totals'!B96)</f>
        <v/>
      </c>
      <c r="B96" t="str">
        <f>IF('Item Totals'!A96="","",'Item Totals'!A96)</f>
        <v/>
      </c>
      <c r="C96" t="str">
        <f>IF('Item Totals'!A96="","",'Item Totals'!F96)</f>
        <v/>
      </c>
    </row>
    <row r="97" spans="1:3">
      <c r="A97" t="str">
        <f>IF('Item Totals'!A97="","",'Item Totals'!B97)</f>
        <v/>
      </c>
      <c r="B97" t="str">
        <f>IF('Item Totals'!A97="","",'Item Totals'!A97)</f>
        <v/>
      </c>
      <c r="C97" t="str">
        <f>IF('Item Totals'!A97="","",'Item Totals'!F97)</f>
        <v/>
      </c>
    </row>
    <row r="98" spans="1:3">
      <c r="A98" t="str">
        <f>IF('Item Totals'!A98="","",'Item Totals'!B98)</f>
        <v/>
      </c>
      <c r="B98" t="str">
        <f>IF('Item Totals'!A98="","",'Item Totals'!A98)</f>
        <v/>
      </c>
      <c r="C98" t="str">
        <f>IF('Item Totals'!A98="","",'Item Totals'!F98)</f>
        <v/>
      </c>
    </row>
    <row r="99" spans="1:3">
      <c r="A99" t="str">
        <f>IF('Item Totals'!A99="","",'Item Totals'!B99)</f>
        <v/>
      </c>
      <c r="B99" t="str">
        <f>IF('Item Totals'!A99="","",'Item Totals'!A99)</f>
        <v/>
      </c>
      <c r="C99" t="str">
        <f>IF('Item Totals'!A99="","",'Item Totals'!F99)</f>
        <v/>
      </c>
    </row>
    <row r="100" spans="1:3">
      <c r="A100" t="str">
        <f>IF('Item Totals'!A100="","",'Item Totals'!B100)</f>
        <v/>
      </c>
      <c r="B100" t="str">
        <f>IF('Item Totals'!A100="","",'Item Totals'!A100)</f>
        <v/>
      </c>
      <c r="C100" t="str">
        <f>IF('Item Totals'!A100="","",'Item Totals'!F100)</f>
        <v/>
      </c>
    </row>
    <row r="101" spans="1:3">
      <c r="A101" t="str">
        <f>IF('Item Totals'!A101="","",'Item Totals'!B101)</f>
        <v/>
      </c>
      <c r="B101" t="str">
        <f>IF('Item Totals'!A101="","",'Item Totals'!A101)</f>
        <v/>
      </c>
      <c r="C101" t="str">
        <f>IF('Item Totals'!A101="","",'Item Totals'!F101)</f>
        <v/>
      </c>
    </row>
    <row r="102" spans="1:3">
      <c r="A102" t="str">
        <f>IF('Item Totals'!A102="","",'Item Totals'!B102)</f>
        <v/>
      </c>
      <c r="B102" t="str">
        <f>IF('Item Totals'!A102="","",'Item Totals'!A102)</f>
        <v/>
      </c>
      <c r="C102" t="str">
        <f>IF('Item Totals'!A102="","",'Item Totals'!F102)</f>
        <v/>
      </c>
    </row>
    <row r="103" spans="1:3">
      <c r="A103" t="str">
        <f>IF('Item Totals'!A103="","",'Item Totals'!B103)</f>
        <v/>
      </c>
      <c r="B103" t="str">
        <f>IF('Item Totals'!A103="","",'Item Totals'!A103)</f>
        <v/>
      </c>
      <c r="C103" t="str">
        <f>IF('Item Totals'!A103="","",'Item Totals'!F103)</f>
        <v/>
      </c>
    </row>
    <row r="104" spans="1:3">
      <c r="A104" t="str">
        <f>IF('Item Totals'!A104="","",'Item Totals'!B104)</f>
        <v/>
      </c>
      <c r="B104" t="str">
        <f>IF('Item Totals'!A104="","",'Item Totals'!A104)</f>
        <v/>
      </c>
      <c r="C104" t="str">
        <f>IF('Item Totals'!A104="","",'Item Totals'!F104)</f>
        <v/>
      </c>
    </row>
    <row r="105" spans="1:3">
      <c r="A105" t="str">
        <f>IF('Item Totals'!A105="","",'Item Totals'!B105)</f>
        <v/>
      </c>
      <c r="B105" t="str">
        <f>IF('Item Totals'!A105="","",'Item Totals'!A105)</f>
        <v/>
      </c>
      <c r="C105" t="str">
        <f>IF('Item Totals'!A105="","",'Item Totals'!F105)</f>
        <v/>
      </c>
    </row>
    <row r="106" spans="1:3">
      <c r="A106" t="str">
        <f>IF('Item Totals'!A106="","",'Item Totals'!B106)</f>
        <v/>
      </c>
      <c r="B106" t="str">
        <f>IF('Item Totals'!A106="","",'Item Totals'!A106)</f>
        <v/>
      </c>
      <c r="C106" t="str">
        <f>IF('Item Totals'!A106="","",'Item Totals'!F106)</f>
        <v/>
      </c>
    </row>
    <row r="107" spans="1:3">
      <c r="A107" t="str">
        <f>IF('Item Totals'!A107="","",'Item Totals'!B107)</f>
        <v/>
      </c>
      <c r="B107" t="str">
        <f>IF('Item Totals'!A107="","",'Item Totals'!A107)</f>
        <v/>
      </c>
      <c r="C107" t="str">
        <f>IF('Item Totals'!A107="","",'Item Totals'!F107)</f>
        <v/>
      </c>
    </row>
    <row r="108" spans="1:3">
      <c r="A108" t="str">
        <f>IF('Item Totals'!A108="","",'Item Totals'!B108)</f>
        <v/>
      </c>
      <c r="B108" t="str">
        <f>IF('Item Totals'!A108="","",'Item Totals'!A108)</f>
        <v/>
      </c>
      <c r="C108" t="str">
        <f>IF('Item Totals'!A108="","",'Item Totals'!F108)</f>
        <v/>
      </c>
    </row>
    <row r="109" spans="1:3">
      <c r="A109" t="str">
        <f>IF('Item Totals'!A109="","",'Item Totals'!B109)</f>
        <v/>
      </c>
      <c r="B109" t="str">
        <f>IF('Item Totals'!A109="","",'Item Totals'!A109)</f>
        <v/>
      </c>
      <c r="C109" t="str">
        <f>IF('Item Totals'!A109="","",'Item Totals'!F109)</f>
        <v/>
      </c>
    </row>
    <row r="110" spans="1:3">
      <c r="A110" t="str">
        <f>IF('Item Totals'!A110="","",'Item Totals'!B110)</f>
        <v/>
      </c>
      <c r="B110" t="str">
        <f>IF('Item Totals'!A110="","",'Item Totals'!A110)</f>
        <v/>
      </c>
      <c r="C110" t="str">
        <f>IF('Item Totals'!A110="","",'Item Totals'!F110)</f>
        <v/>
      </c>
    </row>
    <row r="111" spans="1:3">
      <c r="A111" t="str">
        <f>IF('Item Totals'!A111="","",'Item Totals'!B111)</f>
        <v/>
      </c>
      <c r="B111" t="str">
        <f>IF('Item Totals'!A111="","",'Item Totals'!A111)</f>
        <v/>
      </c>
      <c r="C111" t="str">
        <f>IF('Item Totals'!A111="","",'Item Totals'!F111)</f>
        <v/>
      </c>
    </row>
    <row r="112" spans="1:3">
      <c r="A112" t="str">
        <f>IF('Item Totals'!A112="","",'Item Totals'!B112)</f>
        <v/>
      </c>
      <c r="B112" t="str">
        <f>IF('Item Totals'!A112="","",'Item Totals'!A112)</f>
        <v/>
      </c>
      <c r="C112" t="str">
        <f>IF('Item Totals'!A112="","",'Item Totals'!F112)</f>
        <v/>
      </c>
    </row>
    <row r="113" spans="1:3">
      <c r="A113" t="str">
        <f>IF('Item Totals'!A113="","",'Item Totals'!B113)</f>
        <v/>
      </c>
      <c r="B113" t="str">
        <f>IF('Item Totals'!A113="","",'Item Totals'!A113)</f>
        <v/>
      </c>
      <c r="C113" t="str">
        <f>IF('Item Totals'!A113="","",'Item Totals'!F113)</f>
        <v/>
      </c>
    </row>
    <row r="114" spans="1:3">
      <c r="A114" t="str">
        <f>IF('Item Totals'!A114="","",'Item Totals'!B114)</f>
        <v/>
      </c>
      <c r="B114" t="str">
        <f>IF('Item Totals'!A114="","",'Item Totals'!A114)</f>
        <v/>
      </c>
      <c r="C114" t="str">
        <f>IF('Item Totals'!A114="","",'Item Totals'!F114)</f>
        <v/>
      </c>
    </row>
    <row r="115" spans="1:3">
      <c r="A115" t="str">
        <f>IF('Item Totals'!A115="","",'Item Totals'!B115)</f>
        <v/>
      </c>
      <c r="B115" t="str">
        <f>IF('Item Totals'!A115="","",'Item Totals'!A115)</f>
        <v/>
      </c>
      <c r="C115" t="str">
        <f>IF('Item Totals'!A115="","",'Item Totals'!F115)</f>
        <v/>
      </c>
    </row>
    <row r="116" spans="1:3">
      <c r="A116" t="str">
        <f>IF('Item Totals'!A116="","",'Item Totals'!B116)</f>
        <v/>
      </c>
      <c r="B116" t="str">
        <f>IF('Item Totals'!A116="","",'Item Totals'!A116)</f>
        <v/>
      </c>
      <c r="C116" t="str">
        <f>IF('Item Totals'!A116="","",'Item Totals'!F116)</f>
        <v/>
      </c>
    </row>
    <row r="117" spans="1:3">
      <c r="A117" t="str">
        <f>IF('Item Totals'!A117="","",'Item Totals'!B117)</f>
        <v/>
      </c>
      <c r="B117" t="str">
        <f>IF('Item Totals'!A117="","",'Item Totals'!A117)</f>
        <v/>
      </c>
      <c r="C117" t="str">
        <f>IF('Item Totals'!A117="","",'Item Totals'!F117)</f>
        <v/>
      </c>
    </row>
    <row r="118" spans="1:3">
      <c r="A118" t="str">
        <f>IF('Item Totals'!A118="","",'Item Totals'!B118)</f>
        <v/>
      </c>
      <c r="B118" t="str">
        <f>IF('Item Totals'!A118="","",'Item Totals'!A118)</f>
        <v/>
      </c>
      <c r="C118" t="str">
        <f>IF('Item Totals'!A118="","",'Item Totals'!F118)</f>
        <v/>
      </c>
    </row>
    <row r="119" spans="1:3">
      <c r="A119" t="str">
        <f>IF('Item Totals'!A119="","",'Item Totals'!B119)</f>
        <v/>
      </c>
      <c r="B119" t="str">
        <f>IF('Item Totals'!A119="","",'Item Totals'!A119)</f>
        <v/>
      </c>
      <c r="C119" t="str">
        <f>IF('Item Totals'!A119="","",'Item Totals'!F119)</f>
        <v/>
      </c>
    </row>
    <row r="120" spans="1:3">
      <c r="A120" t="str">
        <f>IF('Item Totals'!A120="","",'Item Totals'!B120)</f>
        <v/>
      </c>
      <c r="B120" t="str">
        <f>IF('Item Totals'!A120="","",'Item Totals'!A120)</f>
        <v/>
      </c>
      <c r="C120" t="str">
        <f>IF('Item Totals'!A120="","",'Item Totals'!F120)</f>
        <v/>
      </c>
    </row>
    <row r="121" spans="1:3">
      <c r="A121" t="str">
        <f>IF('Item Totals'!A121="","",'Item Totals'!B121)</f>
        <v/>
      </c>
      <c r="B121" t="str">
        <f>IF('Item Totals'!A121="","",'Item Totals'!A121)</f>
        <v/>
      </c>
      <c r="C121" t="str">
        <f>IF('Item Totals'!A121="","",'Item Totals'!F121)</f>
        <v/>
      </c>
    </row>
    <row r="122" spans="1:3">
      <c r="A122" t="str">
        <f>IF('Item Totals'!A122="","",'Item Totals'!B122)</f>
        <v/>
      </c>
      <c r="B122" t="str">
        <f>IF('Item Totals'!A122="","",'Item Totals'!A122)</f>
        <v/>
      </c>
      <c r="C122" t="str">
        <f>IF('Item Totals'!A122="","",'Item Totals'!F122)</f>
        <v/>
      </c>
    </row>
    <row r="123" spans="1:3">
      <c r="A123" t="str">
        <f>IF('Item Totals'!A123="","",'Item Totals'!B123)</f>
        <v/>
      </c>
      <c r="B123" t="str">
        <f>IF('Item Totals'!A123="","",'Item Totals'!A123)</f>
        <v/>
      </c>
      <c r="C123" t="str">
        <f>IF('Item Totals'!A123="","",'Item Totals'!F123)</f>
        <v/>
      </c>
    </row>
    <row r="124" spans="1:3">
      <c r="A124" t="str">
        <f>IF('Item Totals'!A124="","",'Item Totals'!B124)</f>
        <v/>
      </c>
      <c r="B124" t="str">
        <f>IF('Item Totals'!A124="","",'Item Totals'!A124)</f>
        <v/>
      </c>
      <c r="C124" t="str">
        <f>IF('Item Totals'!A124="","",'Item Totals'!F124)</f>
        <v/>
      </c>
    </row>
    <row r="125" spans="1:3">
      <c r="A125" t="str">
        <f>IF('Item Totals'!A125="","",'Item Totals'!B125)</f>
        <v/>
      </c>
      <c r="B125" t="str">
        <f>IF('Item Totals'!A125="","",'Item Totals'!A125)</f>
        <v/>
      </c>
      <c r="C125" t="str">
        <f>IF('Item Totals'!A125="","",'Item Totals'!F125)</f>
        <v/>
      </c>
    </row>
    <row r="126" spans="1:3">
      <c r="A126" t="str">
        <f>IF('Item Totals'!A126="","",'Item Totals'!B126)</f>
        <v/>
      </c>
      <c r="B126" t="str">
        <f>IF('Item Totals'!A126="","",'Item Totals'!A126)</f>
        <v/>
      </c>
      <c r="C126" t="str">
        <f>IF('Item Totals'!A126="","",'Item Totals'!F126)</f>
        <v/>
      </c>
    </row>
    <row r="127" spans="1:3">
      <c r="A127" t="str">
        <f>IF('Item Totals'!A127="","",'Item Totals'!B127)</f>
        <v/>
      </c>
      <c r="B127" t="str">
        <f>IF('Item Totals'!A127="","",'Item Totals'!A127)</f>
        <v/>
      </c>
      <c r="C127" t="str">
        <f>IF('Item Totals'!A127="","",'Item Totals'!F127)</f>
        <v/>
      </c>
    </row>
    <row r="128" spans="1:3">
      <c r="A128" t="str">
        <f>IF('Item Totals'!A128="","",'Item Totals'!B128)</f>
        <v/>
      </c>
      <c r="B128" t="str">
        <f>IF('Item Totals'!A128="","",'Item Totals'!A128)</f>
        <v/>
      </c>
      <c r="C128" t="str">
        <f>IF('Item Totals'!A128="","",'Item Totals'!F128)</f>
        <v/>
      </c>
    </row>
    <row r="129" spans="1:3">
      <c r="A129" t="str">
        <f>IF('Item Totals'!A129="","",'Item Totals'!B129)</f>
        <v/>
      </c>
      <c r="B129" t="str">
        <f>IF('Item Totals'!A129="","",'Item Totals'!A129)</f>
        <v/>
      </c>
      <c r="C129" t="str">
        <f>IF('Item Totals'!A129="","",'Item Totals'!F129)</f>
        <v/>
      </c>
    </row>
    <row r="130" spans="1:3">
      <c r="A130" t="str">
        <f>IF('Item Totals'!A130="","",'Item Totals'!B130)</f>
        <v/>
      </c>
      <c r="B130" t="str">
        <f>IF('Item Totals'!A130="","",'Item Totals'!A130)</f>
        <v/>
      </c>
      <c r="C130" t="str">
        <f>IF('Item Totals'!A130="","",'Item Totals'!F130)</f>
        <v/>
      </c>
    </row>
    <row r="131" spans="1:3">
      <c r="A131" t="str">
        <f>IF('Item Totals'!A131="","",'Item Totals'!B131)</f>
        <v/>
      </c>
      <c r="B131" t="str">
        <f>IF('Item Totals'!A131="","",'Item Totals'!A131)</f>
        <v/>
      </c>
      <c r="C131" t="str">
        <f>IF('Item Totals'!A131="","",'Item Totals'!F131)</f>
        <v/>
      </c>
    </row>
    <row r="132" spans="1:3">
      <c r="A132" t="str">
        <f>IF('Item Totals'!A132="","",'Item Totals'!B132)</f>
        <v/>
      </c>
      <c r="B132" t="str">
        <f>IF('Item Totals'!A132="","",'Item Totals'!A132)</f>
        <v/>
      </c>
      <c r="C132" t="str">
        <f>IF('Item Totals'!A132="","",'Item Totals'!F132)</f>
        <v/>
      </c>
    </row>
    <row r="133" spans="1:3">
      <c r="A133" t="str">
        <f>IF('Item Totals'!A133="","",'Item Totals'!B133)</f>
        <v/>
      </c>
      <c r="B133" t="str">
        <f>IF('Item Totals'!A133="","",'Item Totals'!A133)</f>
        <v/>
      </c>
      <c r="C133" t="str">
        <f>IF('Item Totals'!A133="","",'Item Totals'!F133)</f>
        <v/>
      </c>
    </row>
    <row r="134" spans="1:3">
      <c r="A134" t="str">
        <f>IF('Item Totals'!A134="","",'Item Totals'!B134)</f>
        <v/>
      </c>
      <c r="B134" t="str">
        <f>IF('Item Totals'!A134="","",'Item Totals'!A134)</f>
        <v/>
      </c>
      <c r="C134" t="str">
        <f>IF('Item Totals'!A134="","",'Item Totals'!F134)</f>
        <v/>
      </c>
    </row>
    <row r="135" spans="1:3">
      <c r="A135" t="str">
        <f>IF('Item Totals'!A135="","",'Item Totals'!B135)</f>
        <v/>
      </c>
      <c r="B135" t="str">
        <f>IF('Item Totals'!A135="","",'Item Totals'!A135)</f>
        <v/>
      </c>
      <c r="C135" t="str">
        <f>IF('Item Totals'!A135="","",'Item Totals'!F135)</f>
        <v/>
      </c>
    </row>
    <row r="136" spans="1:3">
      <c r="A136" t="str">
        <f>IF('Item Totals'!A136="","",'Item Totals'!B136)</f>
        <v/>
      </c>
      <c r="B136" t="str">
        <f>IF('Item Totals'!A136="","",'Item Totals'!A136)</f>
        <v/>
      </c>
      <c r="C136" t="str">
        <f>IF('Item Totals'!A136="","",'Item Totals'!F136)</f>
        <v/>
      </c>
    </row>
    <row r="137" spans="1:3">
      <c r="A137" t="str">
        <f>IF('Item Totals'!A137="","",'Item Totals'!B137)</f>
        <v/>
      </c>
      <c r="B137" t="str">
        <f>IF('Item Totals'!A137="","",'Item Totals'!A137)</f>
        <v/>
      </c>
      <c r="C137" t="str">
        <f>IF('Item Totals'!A137="","",'Item Totals'!F137)</f>
        <v/>
      </c>
    </row>
    <row r="138" spans="1:3">
      <c r="A138" t="str">
        <f>IF('Item Totals'!A138="","",'Item Totals'!B138)</f>
        <v/>
      </c>
      <c r="B138" t="str">
        <f>IF('Item Totals'!A138="","",'Item Totals'!A138)</f>
        <v/>
      </c>
      <c r="C138" t="str">
        <f>IF('Item Totals'!A138="","",'Item Totals'!F138)</f>
        <v/>
      </c>
    </row>
    <row r="139" spans="1:3">
      <c r="A139" t="str">
        <f>IF('Item Totals'!A139="","",'Item Totals'!B139)</f>
        <v/>
      </c>
      <c r="B139" t="str">
        <f>IF('Item Totals'!A139="","",'Item Totals'!A139)</f>
        <v/>
      </c>
      <c r="C139" t="str">
        <f>IF('Item Totals'!A139="","",'Item Totals'!F139)</f>
        <v/>
      </c>
    </row>
    <row r="140" spans="1:3">
      <c r="A140" t="str">
        <f>IF('Item Totals'!A140="","",'Item Totals'!B140)</f>
        <v/>
      </c>
      <c r="B140" t="str">
        <f>IF('Item Totals'!A140="","",'Item Totals'!A140)</f>
        <v/>
      </c>
      <c r="C140" t="str">
        <f>IF('Item Totals'!A140="","",'Item Totals'!F140)</f>
        <v/>
      </c>
    </row>
    <row r="141" spans="1:3">
      <c r="A141" t="str">
        <f>IF('Item Totals'!A141="","",'Item Totals'!B141)</f>
        <v/>
      </c>
      <c r="B141" t="str">
        <f>IF('Item Totals'!A141="","",'Item Totals'!A141)</f>
        <v/>
      </c>
      <c r="C141" t="str">
        <f>IF('Item Totals'!A141="","",'Item Totals'!F141)</f>
        <v/>
      </c>
    </row>
    <row r="142" spans="1:3">
      <c r="A142" t="str">
        <f>IF('Item Totals'!A142="","",'Item Totals'!B142)</f>
        <v/>
      </c>
      <c r="B142" t="str">
        <f>IF('Item Totals'!A142="","",'Item Totals'!A142)</f>
        <v/>
      </c>
      <c r="C142" t="str">
        <f>IF('Item Totals'!A142="","",'Item Totals'!F142)</f>
        <v/>
      </c>
    </row>
    <row r="143" spans="1:3">
      <c r="A143" t="str">
        <f>IF('Item Totals'!A143="","",'Item Totals'!B143)</f>
        <v/>
      </c>
      <c r="B143" t="str">
        <f>IF('Item Totals'!A143="","",'Item Totals'!A143)</f>
        <v/>
      </c>
      <c r="C143" t="str">
        <f>IF('Item Totals'!A143="","",'Item Totals'!F143)</f>
        <v/>
      </c>
    </row>
    <row r="144" spans="1:3">
      <c r="A144" t="str">
        <f>IF('Item Totals'!A144="","",'Item Totals'!B144)</f>
        <v/>
      </c>
      <c r="B144" t="str">
        <f>IF('Item Totals'!A144="","",'Item Totals'!A144)</f>
        <v/>
      </c>
      <c r="C144" t="str">
        <f>IF('Item Totals'!A144="","",'Item Totals'!F144)</f>
        <v/>
      </c>
    </row>
    <row r="145" spans="1:3">
      <c r="A145" t="str">
        <f>IF('Item Totals'!A145="","",'Item Totals'!B145)</f>
        <v/>
      </c>
      <c r="B145" t="str">
        <f>IF('Item Totals'!A145="","",'Item Totals'!A145)</f>
        <v/>
      </c>
      <c r="C145" t="str">
        <f>IF('Item Totals'!A145="","",'Item Totals'!F145)</f>
        <v/>
      </c>
    </row>
    <row r="146" spans="1:3">
      <c r="A146" t="str">
        <f>IF('Item Totals'!A146="","",'Item Totals'!B146)</f>
        <v/>
      </c>
      <c r="B146" t="str">
        <f>IF('Item Totals'!A146="","",'Item Totals'!A146)</f>
        <v/>
      </c>
      <c r="C146" t="str">
        <f>IF('Item Totals'!A146="","",'Item Totals'!F146)</f>
        <v/>
      </c>
    </row>
    <row r="147" spans="1:3">
      <c r="A147" t="str">
        <f>IF('Item Totals'!A147="","",'Item Totals'!B147)</f>
        <v/>
      </c>
      <c r="B147" t="str">
        <f>IF('Item Totals'!A147="","",'Item Totals'!A147)</f>
        <v/>
      </c>
      <c r="C147" t="str">
        <f>IF('Item Totals'!A147="","",'Item Totals'!F147)</f>
        <v/>
      </c>
    </row>
    <row r="148" spans="1:3">
      <c r="A148" t="str">
        <f>IF('Item Totals'!A148="","",'Item Totals'!B148)</f>
        <v/>
      </c>
      <c r="B148" t="str">
        <f>IF('Item Totals'!A148="","",'Item Totals'!A148)</f>
        <v/>
      </c>
      <c r="C148" t="str">
        <f>IF('Item Totals'!A148="","",'Item Totals'!F148)</f>
        <v/>
      </c>
    </row>
    <row r="149" spans="1:3">
      <c r="A149" t="str">
        <f>IF('Item Totals'!A149="","",'Item Totals'!B149)</f>
        <v/>
      </c>
      <c r="B149" t="str">
        <f>IF('Item Totals'!A149="","",'Item Totals'!A149)</f>
        <v/>
      </c>
      <c r="C149" t="str">
        <f>IF('Item Totals'!A149="","",'Item Totals'!F149)</f>
        <v/>
      </c>
    </row>
    <row r="150" spans="1:3">
      <c r="A150" t="str">
        <f>IF('Item Totals'!A150="","",'Item Totals'!B150)</f>
        <v/>
      </c>
      <c r="B150" t="str">
        <f>IF('Item Totals'!A150="","",'Item Totals'!A150)</f>
        <v/>
      </c>
      <c r="C150" t="str">
        <f>IF('Item Totals'!A150="","",'Item Totals'!F150)</f>
        <v/>
      </c>
    </row>
    <row r="151" spans="1:3">
      <c r="A151" t="str">
        <f>IF('Item Totals'!A151="","",'Item Totals'!B151)</f>
        <v/>
      </c>
      <c r="B151" t="str">
        <f>IF('Item Totals'!A151="","",'Item Totals'!A151)</f>
        <v/>
      </c>
      <c r="C151" t="str">
        <f>IF('Item Totals'!A151="","",'Item Totals'!F151)</f>
        <v/>
      </c>
    </row>
    <row r="152" spans="1:3">
      <c r="A152" t="str">
        <f>IF('Item Totals'!A152="","",'Item Totals'!B152)</f>
        <v/>
      </c>
      <c r="B152" t="str">
        <f>IF('Item Totals'!A152="","",'Item Totals'!A152)</f>
        <v/>
      </c>
      <c r="C152" t="str">
        <f>IF('Item Totals'!A152="","",'Item Totals'!F152)</f>
        <v/>
      </c>
    </row>
    <row r="153" spans="1:3">
      <c r="A153" t="str">
        <f>IF('Item Totals'!A153="","",'Item Totals'!B153)</f>
        <v/>
      </c>
      <c r="B153" t="str">
        <f>IF('Item Totals'!A153="","",'Item Totals'!A153)</f>
        <v/>
      </c>
      <c r="C153" t="str">
        <f>IF('Item Totals'!A153="","",'Item Totals'!F153)</f>
        <v/>
      </c>
    </row>
    <row r="154" spans="1:3">
      <c r="A154" t="str">
        <f>IF('Item Totals'!A154="","",'Item Totals'!B154)</f>
        <v/>
      </c>
      <c r="B154" t="str">
        <f>IF('Item Totals'!A154="","",'Item Totals'!A154)</f>
        <v/>
      </c>
      <c r="C154" t="str">
        <f>IF('Item Totals'!A154="","",'Item Totals'!F154)</f>
        <v/>
      </c>
    </row>
    <row r="155" spans="1:3">
      <c r="A155" t="str">
        <f>IF('Item Totals'!A155="","",'Item Totals'!B155)</f>
        <v/>
      </c>
      <c r="B155" t="str">
        <f>IF('Item Totals'!A155="","",'Item Totals'!A155)</f>
        <v/>
      </c>
      <c r="C155" t="str">
        <f>IF('Item Totals'!A155="","",'Item Totals'!F155)</f>
        <v/>
      </c>
    </row>
    <row r="156" spans="1:3">
      <c r="A156" t="str">
        <f>IF('Item Totals'!A156="","",'Item Totals'!B156)</f>
        <v/>
      </c>
      <c r="B156" t="str">
        <f>IF('Item Totals'!A156="","",'Item Totals'!A156)</f>
        <v/>
      </c>
      <c r="C156" t="str">
        <f>IF('Item Totals'!A156="","",'Item Totals'!F156)</f>
        <v/>
      </c>
    </row>
    <row r="157" spans="1:3">
      <c r="A157" t="str">
        <f>IF('Item Totals'!A157="","",'Item Totals'!B157)</f>
        <v/>
      </c>
      <c r="B157" t="str">
        <f>IF('Item Totals'!A157="","",'Item Totals'!A157)</f>
        <v/>
      </c>
      <c r="C157" t="str">
        <f>IF('Item Totals'!A157="","",'Item Totals'!F157)</f>
        <v/>
      </c>
    </row>
    <row r="158" spans="1:3">
      <c r="A158" t="str">
        <f>IF('Item Totals'!A158="","",'Item Totals'!B158)</f>
        <v/>
      </c>
      <c r="B158" t="str">
        <f>IF('Item Totals'!A158="","",'Item Totals'!A158)</f>
        <v/>
      </c>
      <c r="C158" t="str">
        <f>IF('Item Totals'!A158="","",'Item Totals'!F158)</f>
        <v/>
      </c>
    </row>
    <row r="159" spans="1:3">
      <c r="A159" t="str">
        <f>IF('Item Totals'!A159="","",'Item Totals'!B159)</f>
        <v/>
      </c>
      <c r="B159" t="str">
        <f>IF('Item Totals'!A159="","",'Item Totals'!A159)</f>
        <v/>
      </c>
      <c r="C159" t="str">
        <f>IF('Item Totals'!A159="","",'Item Totals'!F159)</f>
        <v/>
      </c>
    </row>
    <row r="160" spans="1:3">
      <c r="A160" t="str">
        <f>IF('Item Totals'!A160="","",'Item Totals'!B160)</f>
        <v/>
      </c>
      <c r="B160" t="str">
        <f>IF('Item Totals'!A160="","",'Item Totals'!A160)</f>
        <v/>
      </c>
      <c r="C160" t="str">
        <f>IF('Item Totals'!A160="","",'Item Totals'!F160)</f>
        <v/>
      </c>
    </row>
    <row r="161" spans="1:3">
      <c r="A161" t="str">
        <f>IF('Item Totals'!A161="","",'Item Totals'!B161)</f>
        <v/>
      </c>
      <c r="B161" t="str">
        <f>IF('Item Totals'!A161="","",'Item Totals'!A161)</f>
        <v/>
      </c>
      <c r="C161" t="str">
        <f>IF('Item Totals'!A161="","",'Item Totals'!F161)</f>
        <v/>
      </c>
    </row>
    <row r="162" spans="1:3">
      <c r="A162" t="str">
        <f>IF('Item Totals'!A162="","",'Item Totals'!B162)</f>
        <v/>
      </c>
      <c r="B162" t="str">
        <f>IF('Item Totals'!A162="","",'Item Totals'!A162)</f>
        <v/>
      </c>
      <c r="C162" t="str">
        <f>IF('Item Totals'!A162="","",'Item Totals'!F162)</f>
        <v/>
      </c>
    </row>
    <row r="163" spans="1:3">
      <c r="A163" t="str">
        <f>IF('Item Totals'!A163="","",'Item Totals'!B163)</f>
        <v/>
      </c>
      <c r="B163" t="str">
        <f>IF('Item Totals'!A163="","",'Item Totals'!A163)</f>
        <v/>
      </c>
      <c r="C163" t="str">
        <f>IF('Item Totals'!A163="","",'Item Totals'!F163)</f>
        <v/>
      </c>
    </row>
    <row r="164" spans="1:3">
      <c r="A164" t="str">
        <f>IF('Item Totals'!A164="","",'Item Totals'!B164)</f>
        <v/>
      </c>
      <c r="B164" t="str">
        <f>IF('Item Totals'!A164="","",'Item Totals'!A164)</f>
        <v/>
      </c>
      <c r="C164" t="str">
        <f>IF('Item Totals'!A164="","",'Item Totals'!F164)</f>
        <v/>
      </c>
    </row>
    <row r="165" spans="1:3">
      <c r="A165" t="str">
        <f>IF('Item Totals'!A165="","",'Item Totals'!B165)</f>
        <v/>
      </c>
      <c r="B165" t="str">
        <f>IF('Item Totals'!A165="","",'Item Totals'!A165)</f>
        <v/>
      </c>
      <c r="C165" t="str">
        <f>IF('Item Totals'!A165="","",'Item Totals'!F165)</f>
        <v/>
      </c>
    </row>
    <row r="166" spans="1:3">
      <c r="A166" t="str">
        <f>IF('Item Totals'!A166="","",'Item Totals'!B166)</f>
        <v/>
      </c>
      <c r="B166" t="str">
        <f>IF('Item Totals'!A166="","",'Item Totals'!A166)</f>
        <v/>
      </c>
      <c r="C166" t="str">
        <f>IF('Item Totals'!A166="","",'Item Totals'!F166)</f>
        <v/>
      </c>
    </row>
    <row r="167" spans="1:3">
      <c r="A167" t="str">
        <f>IF('Item Totals'!A167="","",'Item Totals'!B167)</f>
        <v/>
      </c>
      <c r="B167" t="str">
        <f>IF('Item Totals'!A167="","",'Item Totals'!A167)</f>
        <v/>
      </c>
      <c r="C167" t="str">
        <f>IF('Item Totals'!A167="","",'Item Totals'!F167)</f>
        <v/>
      </c>
    </row>
    <row r="168" spans="1:3">
      <c r="A168" t="str">
        <f>IF('Item Totals'!A168="","",'Item Totals'!B168)</f>
        <v/>
      </c>
      <c r="B168" t="str">
        <f>IF('Item Totals'!A168="","",'Item Totals'!A168)</f>
        <v/>
      </c>
      <c r="C168" t="str">
        <f>IF('Item Totals'!A168="","",'Item Totals'!F168)</f>
        <v/>
      </c>
    </row>
    <row r="169" spans="1:3">
      <c r="A169" t="str">
        <f>IF('Item Totals'!A169="","",'Item Totals'!B169)</f>
        <v/>
      </c>
      <c r="B169" t="str">
        <f>IF('Item Totals'!A169="","",'Item Totals'!A169)</f>
        <v/>
      </c>
      <c r="C169" t="str">
        <f>IF('Item Totals'!A169="","",'Item Totals'!F169)</f>
        <v/>
      </c>
    </row>
    <row r="170" spans="1:3">
      <c r="A170" t="str">
        <f>IF('Item Totals'!A170="","",'Item Totals'!B170)</f>
        <v/>
      </c>
      <c r="B170" t="str">
        <f>IF('Item Totals'!A170="","",'Item Totals'!A170)</f>
        <v/>
      </c>
      <c r="C170" t="str">
        <f>IF('Item Totals'!A170="","",'Item Totals'!F170)</f>
        <v/>
      </c>
    </row>
    <row r="171" spans="1:3">
      <c r="A171" t="str">
        <f>IF('Item Totals'!A171="","",'Item Totals'!B171)</f>
        <v/>
      </c>
      <c r="B171" t="str">
        <f>IF('Item Totals'!A171="","",'Item Totals'!A171)</f>
        <v/>
      </c>
      <c r="C171" t="str">
        <f>IF('Item Totals'!A171="","",'Item Totals'!F171)</f>
        <v/>
      </c>
    </row>
    <row r="172" spans="1:3">
      <c r="A172" t="str">
        <f>IF('Item Totals'!A172="","",'Item Totals'!B172)</f>
        <v/>
      </c>
      <c r="B172" t="str">
        <f>IF('Item Totals'!A172="","",'Item Totals'!A172)</f>
        <v/>
      </c>
      <c r="C172" t="str">
        <f>IF('Item Totals'!A172="","",'Item Totals'!F172)</f>
        <v/>
      </c>
    </row>
    <row r="173" spans="1:3">
      <c r="A173" t="str">
        <f>IF('Item Totals'!A173="","",'Item Totals'!B173)</f>
        <v/>
      </c>
      <c r="B173" t="str">
        <f>IF('Item Totals'!A173="","",'Item Totals'!A173)</f>
        <v/>
      </c>
      <c r="C173" t="str">
        <f>IF('Item Totals'!A173="","",'Item Totals'!F173)</f>
        <v/>
      </c>
    </row>
    <row r="174" spans="1:3">
      <c r="A174" t="str">
        <f>IF('Item Totals'!A174="","",'Item Totals'!B174)</f>
        <v/>
      </c>
      <c r="B174" t="str">
        <f>IF('Item Totals'!A174="","",'Item Totals'!A174)</f>
        <v/>
      </c>
      <c r="C174" t="str">
        <f>IF('Item Totals'!A174="","",'Item Totals'!F174)</f>
        <v/>
      </c>
    </row>
    <row r="175" spans="1:3">
      <c r="A175" t="str">
        <f>IF('Item Totals'!A175="","",'Item Totals'!B175)</f>
        <v/>
      </c>
      <c r="B175" t="str">
        <f>IF('Item Totals'!A175="","",'Item Totals'!A175)</f>
        <v/>
      </c>
      <c r="C175" t="str">
        <f>IF('Item Totals'!A175="","",'Item Totals'!F175)</f>
        <v/>
      </c>
    </row>
    <row r="176" spans="1:3">
      <c r="A176" t="str">
        <f>IF('Item Totals'!A176="","",'Item Totals'!B176)</f>
        <v/>
      </c>
      <c r="B176" t="str">
        <f>IF('Item Totals'!A176="","",'Item Totals'!A176)</f>
        <v/>
      </c>
      <c r="C176" t="str">
        <f>IF('Item Totals'!A176="","",'Item Totals'!F176)</f>
        <v/>
      </c>
    </row>
    <row r="177" spans="1:3">
      <c r="A177" t="str">
        <f>IF('Item Totals'!A177="","",'Item Totals'!B177)</f>
        <v/>
      </c>
      <c r="B177" t="str">
        <f>IF('Item Totals'!A177="","",'Item Totals'!A177)</f>
        <v/>
      </c>
      <c r="C177" t="str">
        <f>IF('Item Totals'!A177="","",'Item Totals'!F177)</f>
        <v/>
      </c>
    </row>
    <row r="178" spans="1:3">
      <c r="A178" t="str">
        <f>IF('Item Totals'!A178="","",'Item Totals'!B178)</f>
        <v/>
      </c>
      <c r="B178" t="str">
        <f>IF('Item Totals'!A178="","",'Item Totals'!A178)</f>
        <v/>
      </c>
      <c r="C178" t="str">
        <f>IF('Item Totals'!A178="","",'Item Totals'!F178)</f>
        <v/>
      </c>
    </row>
    <row r="179" spans="1:3">
      <c r="A179" t="str">
        <f>IF('Item Totals'!A179="","",'Item Totals'!B179)</f>
        <v/>
      </c>
      <c r="B179" t="str">
        <f>IF('Item Totals'!A179="","",'Item Totals'!A179)</f>
        <v/>
      </c>
      <c r="C179" t="str">
        <f>IF('Item Totals'!A179="","",'Item Totals'!F179)</f>
        <v/>
      </c>
    </row>
    <row r="180" spans="1:3">
      <c r="A180" t="str">
        <f>IF('Item Totals'!A180="","",'Item Totals'!B180)</f>
        <v/>
      </c>
      <c r="B180" t="str">
        <f>IF('Item Totals'!A180="","",'Item Totals'!A180)</f>
        <v/>
      </c>
      <c r="C180" t="str">
        <f>IF('Item Totals'!A180="","",'Item Totals'!F180)</f>
        <v/>
      </c>
    </row>
    <row r="181" spans="1:3">
      <c r="A181" t="str">
        <f>IF('Item Totals'!A181="","",'Item Totals'!B181)</f>
        <v/>
      </c>
      <c r="B181" t="str">
        <f>IF('Item Totals'!A181="","",'Item Totals'!A181)</f>
        <v/>
      </c>
      <c r="C181" t="str">
        <f>IF('Item Totals'!A181="","",'Item Totals'!F181)</f>
        <v/>
      </c>
    </row>
    <row r="182" spans="1:3">
      <c r="A182" t="str">
        <f>IF('Item Totals'!A182="","",'Item Totals'!B182)</f>
        <v/>
      </c>
      <c r="B182" t="str">
        <f>IF('Item Totals'!A182="","",'Item Totals'!A182)</f>
        <v/>
      </c>
      <c r="C182" t="str">
        <f>IF('Item Totals'!A182="","",'Item Totals'!F182)</f>
        <v/>
      </c>
    </row>
    <row r="183" spans="1:3">
      <c r="A183" t="str">
        <f>IF('Item Totals'!A183="","",'Item Totals'!B183)</f>
        <v/>
      </c>
      <c r="B183" t="str">
        <f>IF('Item Totals'!A183="","",'Item Totals'!A183)</f>
        <v/>
      </c>
      <c r="C183" t="str">
        <f>IF('Item Totals'!A183="","",'Item Totals'!F183)</f>
        <v/>
      </c>
    </row>
    <row r="184" spans="1:3">
      <c r="A184" t="str">
        <f>IF('Item Totals'!A184="","",'Item Totals'!B184)</f>
        <v/>
      </c>
      <c r="B184" t="str">
        <f>IF('Item Totals'!A184="","",'Item Totals'!A184)</f>
        <v/>
      </c>
      <c r="C184" t="str">
        <f>IF('Item Totals'!A184="","",'Item Totals'!F184)</f>
        <v/>
      </c>
    </row>
    <row r="185" spans="1:3">
      <c r="A185" t="str">
        <f>IF('Item Totals'!A185="","",'Item Totals'!B185)</f>
        <v/>
      </c>
      <c r="B185" t="str">
        <f>IF('Item Totals'!A185="","",'Item Totals'!A185)</f>
        <v/>
      </c>
      <c r="C185" t="str">
        <f>IF('Item Totals'!A185="","",'Item Totals'!F185)</f>
        <v/>
      </c>
    </row>
    <row r="186" spans="1:3">
      <c r="A186" t="str">
        <f>IF('Item Totals'!A186="","",'Item Totals'!B186)</f>
        <v/>
      </c>
      <c r="B186" t="str">
        <f>IF('Item Totals'!A186="","",'Item Totals'!A186)</f>
        <v/>
      </c>
      <c r="C186" t="str">
        <f>IF('Item Totals'!A186="","",'Item Totals'!F186)</f>
        <v/>
      </c>
    </row>
    <row r="187" spans="1:3">
      <c r="A187" t="str">
        <f>IF('Item Totals'!A187="","",'Item Totals'!B187)</f>
        <v/>
      </c>
      <c r="B187" t="str">
        <f>IF('Item Totals'!A187="","",'Item Totals'!A187)</f>
        <v/>
      </c>
      <c r="C187" t="str">
        <f>IF('Item Totals'!A187="","",'Item Totals'!F187)</f>
        <v/>
      </c>
    </row>
    <row r="188" spans="1:3">
      <c r="A188" t="str">
        <f>IF('Item Totals'!A188="","",'Item Totals'!B188)</f>
        <v/>
      </c>
      <c r="B188" t="str">
        <f>IF('Item Totals'!A188="","",'Item Totals'!A188)</f>
        <v/>
      </c>
      <c r="C188" t="str">
        <f>IF('Item Totals'!A188="","",'Item Totals'!F188)</f>
        <v/>
      </c>
    </row>
    <row r="189" spans="1:3">
      <c r="A189" t="str">
        <f>IF('Item Totals'!A189="","",'Item Totals'!B189)</f>
        <v/>
      </c>
      <c r="B189" t="str">
        <f>IF('Item Totals'!A189="","",'Item Totals'!A189)</f>
        <v/>
      </c>
      <c r="C189" t="str">
        <f>IF('Item Totals'!A189="","",'Item Totals'!F189)</f>
        <v/>
      </c>
    </row>
    <row r="190" spans="1:3">
      <c r="A190" t="str">
        <f>IF('Item Totals'!A190="","",'Item Totals'!B190)</f>
        <v/>
      </c>
      <c r="B190" t="str">
        <f>IF('Item Totals'!A190="","",'Item Totals'!A190)</f>
        <v/>
      </c>
      <c r="C190" t="str">
        <f>IF('Item Totals'!A190="","",'Item Totals'!F190)</f>
        <v/>
      </c>
    </row>
    <row r="191" spans="1:3">
      <c r="A191" t="str">
        <f>IF('Item Totals'!A191="","",'Item Totals'!B191)</f>
        <v/>
      </c>
      <c r="B191" t="str">
        <f>IF('Item Totals'!A191="","",'Item Totals'!A191)</f>
        <v/>
      </c>
      <c r="C191" t="str">
        <f>IF('Item Totals'!A191="","",'Item Totals'!F191)</f>
        <v/>
      </c>
    </row>
    <row r="192" spans="1:3">
      <c r="A192" t="str">
        <f>IF('Item Totals'!A192="","",'Item Totals'!B192)</f>
        <v/>
      </c>
      <c r="B192" t="str">
        <f>IF('Item Totals'!A192="","",'Item Totals'!A192)</f>
        <v/>
      </c>
      <c r="C192" t="str">
        <f>IF('Item Totals'!A192="","",'Item Totals'!F192)</f>
        <v/>
      </c>
    </row>
    <row r="193" spans="1:3">
      <c r="A193" t="str">
        <f>IF('Item Totals'!A193="","",'Item Totals'!B193)</f>
        <v/>
      </c>
      <c r="B193" t="str">
        <f>IF('Item Totals'!A193="","",'Item Totals'!A193)</f>
        <v/>
      </c>
      <c r="C193" t="str">
        <f>IF('Item Totals'!A193="","",'Item Totals'!F193)</f>
        <v/>
      </c>
    </row>
    <row r="194" spans="1:3">
      <c r="A194" t="str">
        <f>IF('Item Totals'!A194="","",'Item Totals'!B194)</f>
        <v/>
      </c>
      <c r="B194" t="str">
        <f>IF('Item Totals'!A194="","",'Item Totals'!A194)</f>
        <v/>
      </c>
      <c r="C194" t="str">
        <f>IF('Item Totals'!A194="","",'Item Totals'!F194)</f>
        <v/>
      </c>
    </row>
    <row r="195" spans="1:3">
      <c r="A195" t="str">
        <f>IF('Item Totals'!A195="","",'Item Totals'!B195)</f>
        <v/>
      </c>
      <c r="B195" t="str">
        <f>IF('Item Totals'!A195="","",'Item Totals'!A195)</f>
        <v/>
      </c>
      <c r="C195" t="str">
        <f>IF('Item Totals'!A195="","",'Item Totals'!F195)</f>
        <v/>
      </c>
    </row>
    <row r="196" spans="1:3">
      <c r="A196" t="str">
        <f>IF('Item Totals'!A196="","",'Item Totals'!B196)</f>
        <v/>
      </c>
      <c r="B196" t="str">
        <f>IF('Item Totals'!A196="","",'Item Totals'!A196)</f>
        <v/>
      </c>
      <c r="C196" t="str">
        <f>IF('Item Totals'!A196="","",'Item Totals'!F196)</f>
        <v/>
      </c>
    </row>
    <row r="197" spans="1:3">
      <c r="A197" t="str">
        <f>IF('Item Totals'!A197="","",'Item Totals'!B197)</f>
        <v/>
      </c>
      <c r="B197" t="str">
        <f>IF('Item Totals'!A197="","",'Item Totals'!A197)</f>
        <v/>
      </c>
      <c r="C197" t="str">
        <f>IF('Item Totals'!A197="","",'Item Totals'!F197)</f>
        <v/>
      </c>
    </row>
    <row r="198" spans="1:3">
      <c r="A198" t="str">
        <f>IF('Item Totals'!A198="","",'Item Totals'!B198)</f>
        <v/>
      </c>
      <c r="B198" t="str">
        <f>IF('Item Totals'!A198="","",'Item Totals'!A198)</f>
        <v/>
      </c>
      <c r="C198" t="str">
        <f>IF('Item Totals'!A198="","",'Item Totals'!F198)</f>
        <v/>
      </c>
    </row>
    <row r="199" spans="1:3">
      <c r="A199" t="str">
        <f>IF('Item Totals'!A199="","",'Item Totals'!B199)</f>
        <v/>
      </c>
      <c r="B199" t="str">
        <f>IF('Item Totals'!A199="","",'Item Totals'!A199)</f>
        <v/>
      </c>
      <c r="C199" t="str">
        <f>IF('Item Totals'!A199="","",'Item Totals'!F199)</f>
        <v/>
      </c>
    </row>
    <row r="200" spans="1:3">
      <c r="A200" t="str">
        <f>IF('Item Totals'!A200="","",'Item Totals'!B200)</f>
        <v/>
      </c>
      <c r="B200" t="str">
        <f>IF('Item Totals'!A200="","",'Item Totals'!A200)</f>
        <v/>
      </c>
      <c r="C200" t="str">
        <f>IF('Item Totals'!A200="","",'Item Totals'!F200)</f>
        <v/>
      </c>
    </row>
    <row r="201" spans="1:3">
      <c r="A201" t="str">
        <f>IF('Item Totals'!A201="","",'Item Totals'!B201)</f>
        <v/>
      </c>
      <c r="B201" t="str">
        <f>IF('Item Totals'!A201="","",'Item Totals'!A201)</f>
        <v/>
      </c>
      <c r="C201" t="str">
        <f>IF('Item Totals'!A201="","",'Item Totals'!F201)</f>
        <v/>
      </c>
    </row>
    <row r="202" spans="1:3">
      <c r="A202" t="str">
        <f>IF('Item Totals'!A202="","",'Item Totals'!B202)</f>
        <v/>
      </c>
      <c r="B202" t="str">
        <f>IF('Item Totals'!A202="","",'Item Totals'!A202)</f>
        <v/>
      </c>
      <c r="C202" t="str">
        <f>IF('Item Totals'!A202="","",'Item Totals'!F202)</f>
        <v/>
      </c>
    </row>
    <row r="203" spans="1:3">
      <c r="A203" t="str">
        <f>IF('Item Totals'!A203="","",'Item Totals'!B203)</f>
        <v/>
      </c>
      <c r="B203" t="str">
        <f>IF('Item Totals'!A203="","",'Item Totals'!A203)</f>
        <v/>
      </c>
      <c r="C203" t="str">
        <f>IF('Item Totals'!A203="","",'Item Totals'!F203)</f>
        <v/>
      </c>
    </row>
    <row r="204" spans="1:3">
      <c r="A204" t="str">
        <f>IF('Item Totals'!A204="","",'Item Totals'!B204)</f>
        <v/>
      </c>
      <c r="B204" t="str">
        <f>IF('Item Totals'!A204="","",'Item Totals'!A204)</f>
        <v/>
      </c>
      <c r="C204" t="str">
        <f>IF('Item Totals'!A204="","",'Item Totals'!F204)</f>
        <v/>
      </c>
    </row>
    <row r="205" spans="1:3">
      <c r="A205" t="str">
        <f>IF('Item Totals'!A205="","",'Item Totals'!B205)</f>
        <v/>
      </c>
      <c r="B205" t="str">
        <f>IF('Item Totals'!A205="","",'Item Totals'!A205)</f>
        <v/>
      </c>
      <c r="C205" t="str">
        <f>IF('Item Totals'!A205="","",'Item Totals'!F205)</f>
        <v/>
      </c>
    </row>
    <row r="206" spans="1:3">
      <c r="A206" t="str">
        <f>IF('Item Totals'!A206="","",'Item Totals'!B206)</f>
        <v/>
      </c>
      <c r="B206" t="str">
        <f>IF('Item Totals'!A206="","",'Item Totals'!A206)</f>
        <v/>
      </c>
      <c r="C206" t="str">
        <f>IF('Item Totals'!A206="","",'Item Totals'!F206)</f>
        <v/>
      </c>
    </row>
    <row r="207" spans="1:3">
      <c r="A207" t="str">
        <f>IF('Item Totals'!A207="","",'Item Totals'!B207)</f>
        <v/>
      </c>
      <c r="B207" t="str">
        <f>IF('Item Totals'!A207="","",'Item Totals'!A207)</f>
        <v/>
      </c>
      <c r="C207" t="str">
        <f>IF('Item Totals'!A207="","",'Item Totals'!F207)</f>
        <v/>
      </c>
    </row>
    <row r="208" spans="1:3">
      <c r="A208" t="str">
        <f>IF('Item Totals'!A208="","",'Item Totals'!B208)</f>
        <v/>
      </c>
      <c r="B208" t="str">
        <f>IF('Item Totals'!A208="","",'Item Totals'!A208)</f>
        <v/>
      </c>
      <c r="C208" t="str">
        <f>IF('Item Totals'!A208="","",'Item Totals'!F208)</f>
        <v/>
      </c>
    </row>
    <row r="209" spans="1:3">
      <c r="A209" t="str">
        <f>IF('Item Totals'!A209="","",'Item Totals'!B209)</f>
        <v/>
      </c>
      <c r="B209" t="str">
        <f>IF('Item Totals'!A209="","",'Item Totals'!A209)</f>
        <v/>
      </c>
      <c r="C209" t="str">
        <f>IF('Item Totals'!A209="","",'Item Totals'!F209)</f>
        <v/>
      </c>
    </row>
    <row r="210" spans="1:3">
      <c r="A210" t="str">
        <f>IF('Item Totals'!A210="","",'Item Totals'!B210)</f>
        <v/>
      </c>
      <c r="B210" t="str">
        <f>IF('Item Totals'!A210="","",'Item Totals'!A210)</f>
        <v/>
      </c>
      <c r="C210" t="str">
        <f>IF('Item Totals'!A210="","",'Item Totals'!F210)</f>
        <v/>
      </c>
    </row>
    <row r="211" spans="1:3">
      <c r="A211" t="str">
        <f>IF('Item Totals'!A211="","",'Item Totals'!B211)</f>
        <v/>
      </c>
      <c r="B211" t="str">
        <f>IF('Item Totals'!A211="","",'Item Totals'!A211)</f>
        <v/>
      </c>
      <c r="C211" t="str">
        <f>IF('Item Totals'!A211="","",'Item Totals'!F211)</f>
        <v/>
      </c>
    </row>
    <row r="212" spans="1:3">
      <c r="A212" t="str">
        <f>IF('Item Totals'!A212="","",'Item Totals'!B212)</f>
        <v/>
      </c>
      <c r="B212" t="str">
        <f>IF('Item Totals'!A212="","",'Item Totals'!A212)</f>
        <v/>
      </c>
      <c r="C212" t="str">
        <f>IF('Item Totals'!A212="","",'Item Totals'!F212)</f>
        <v/>
      </c>
    </row>
    <row r="213" spans="1:3">
      <c r="A213" t="str">
        <f>IF('Item Totals'!A213="","",'Item Totals'!B213)</f>
        <v/>
      </c>
      <c r="B213" t="str">
        <f>IF('Item Totals'!A213="","",'Item Totals'!A213)</f>
        <v/>
      </c>
      <c r="C213" t="str">
        <f>IF('Item Totals'!A213="","",'Item Totals'!F213)</f>
        <v/>
      </c>
    </row>
    <row r="214" spans="1:3">
      <c r="A214" t="str">
        <f>IF('Item Totals'!A214="","",'Item Totals'!B214)</f>
        <v/>
      </c>
      <c r="B214" t="str">
        <f>IF('Item Totals'!A214="","",'Item Totals'!A214)</f>
        <v/>
      </c>
      <c r="C214" t="str">
        <f>IF('Item Totals'!A214="","",'Item Totals'!F214)</f>
        <v/>
      </c>
    </row>
    <row r="215" spans="1:3">
      <c r="A215" t="str">
        <f>IF('Item Totals'!A215="","",'Item Totals'!B215)</f>
        <v/>
      </c>
      <c r="B215" t="str">
        <f>IF('Item Totals'!A215="","",'Item Totals'!A215)</f>
        <v/>
      </c>
      <c r="C215" t="str">
        <f>IF('Item Totals'!A215="","",'Item Totals'!F215)</f>
        <v/>
      </c>
    </row>
    <row r="216" spans="1:3">
      <c r="A216" t="str">
        <f>IF('Item Totals'!A216="","",'Item Totals'!B216)</f>
        <v/>
      </c>
      <c r="B216" t="str">
        <f>IF('Item Totals'!A216="","",'Item Totals'!A216)</f>
        <v/>
      </c>
      <c r="C216" t="str">
        <f>IF('Item Totals'!A216="","",'Item Totals'!F216)</f>
        <v/>
      </c>
    </row>
    <row r="217" spans="1:3">
      <c r="A217" t="str">
        <f>IF('Item Totals'!A217="","",'Item Totals'!B217)</f>
        <v/>
      </c>
      <c r="B217" t="str">
        <f>IF('Item Totals'!A217="","",'Item Totals'!A217)</f>
        <v/>
      </c>
      <c r="C217" t="str">
        <f>IF('Item Totals'!A217="","",'Item Totals'!F217)</f>
        <v/>
      </c>
    </row>
    <row r="218" spans="1:3">
      <c r="A218" t="str">
        <f>IF('Item Totals'!A218="","",'Item Totals'!B218)</f>
        <v/>
      </c>
      <c r="B218" t="str">
        <f>IF('Item Totals'!A218="","",'Item Totals'!A218)</f>
        <v/>
      </c>
      <c r="C218" t="str">
        <f>IF('Item Totals'!A218="","",'Item Totals'!F218)</f>
        <v/>
      </c>
    </row>
    <row r="219" spans="1:3">
      <c r="A219" t="str">
        <f>IF('Item Totals'!A219="","",'Item Totals'!B219)</f>
        <v/>
      </c>
      <c r="B219" t="str">
        <f>IF('Item Totals'!A219="","",'Item Totals'!A219)</f>
        <v/>
      </c>
      <c r="C219" t="str">
        <f>IF('Item Totals'!A219="","",'Item Totals'!F219)</f>
        <v/>
      </c>
    </row>
    <row r="220" spans="1:3">
      <c r="A220" t="str">
        <f>IF('Item Totals'!A220="","",'Item Totals'!B220)</f>
        <v/>
      </c>
      <c r="B220" t="str">
        <f>IF('Item Totals'!A220="","",'Item Totals'!A220)</f>
        <v/>
      </c>
      <c r="C220" t="str">
        <f>IF('Item Totals'!A220="","",'Item Totals'!F220)</f>
        <v/>
      </c>
    </row>
    <row r="221" spans="1:3">
      <c r="A221" t="str">
        <f>IF('Item Totals'!A221="","",'Item Totals'!B221)</f>
        <v/>
      </c>
      <c r="B221" t="str">
        <f>IF('Item Totals'!A221="","",'Item Totals'!A221)</f>
        <v/>
      </c>
      <c r="C221" t="str">
        <f>IF('Item Totals'!A221="","",'Item Totals'!F221)</f>
        <v/>
      </c>
    </row>
    <row r="222" spans="1:3">
      <c r="A222" t="str">
        <f>IF('Item Totals'!A222="","",'Item Totals'!B222)</f>
        <v/>
      </c>
      <c r="B222" t="str">
        <f>IF('Item Totals'!A222="","",'Item Totals'!A222)</f>
        <v/>
      </c>
      <c r="C222" t="str">
        <f>IF('Item Totals'!A222="","",'Item Totals'!F222)</f>
        <v/>
      </c>
    </row>
    <row r="223" spans="1:3">
      <c r="A223" t="str">
        <f>IF('Item Totals'!A223="","",'Item Totals'!B223)</f>
        <v/>
      </c>
      <c r="B223" t="str">
        <f>IF('Item Totals'!A223="","",'Item Totals'!A223)</f>
        <v/>
      </c>
      <c r="C223" t="str">
        <f>IF('Item Totals'!A223="","",'Item Totals'!F223)</f>
        <v/>
      </c>
    </row>
    <row r="224" spans="1:3">
      <c r="A224" t="str">
        <f>IF('Item Totals'!A224="","",'Item Totals'!B224)</f>
        <v/>
      </c>
      <c r="B224" t="str">
        <f>IF('Item Totals'!A224="","",'Item Totals'!A224)</f>
        <v/>
      </c>
      <c r="C224" t="str">
        <f>IF('Item Totals'!A224="","",'Item Totals'!F224)</f>
        <v/>
      </c>
    </row>
    <row r="225" spans="1:3">
      <c r="A225" t="str">
        <f>IF('Item Totals'!A225="","",'Item Totals'!B225)</f>
        <v/>
      </c>
      <c r="B225" t="str">
        <f>IF('Item Totals'!A225="","",'Item Totals'!A225)</f>
        <v/>
      </c>
      <c r="C225" t="str">
        <f>IF('Item Totals'!A225="","",'Item Totals'!F225)</f>
        <v/>
      </c>
    </row>
    <row r="226" spans="1:3">
      <c r="A226" t="str">
        <f>IF('Item Totals'!A226="","",'Item Totals'!B226)</f>
        <v/>
      </c>
      <c r="B226" t="str">
        <f>IF('Item Totals'!A226="","",'Item Totals'!A226)</f>
        <v/>
      </c>
      <c r="C226" t="str">
        <f>IF('Item Totals'!A226="","",'Item Totals'!F226)</f>
        <v/>
      </c>
    </row>
    <row r="227" spans="1:3">
      <c r="A227" t="str">
        <f>IF('Item Totals'!A227="","",'Item Totals'!B227)</f>
        <v/>
      </c>
      <c r="B227" t="str">
        <f>IF('Item Totals'!A227="","",'Item Totals'!A227)</f>
        <v/>
      </c>
      <c r="C227" t="str">
        <f>IF('Item Totals'!A227="","",'Item Totals'!F227)</f>
        <v/>
      </c>
    </row>
    <row r="228" spans="1:3">
      <c r="A228" t="str">
        <f>IF('Item Totals'!A228="","",'Item Totals'!B228)</f>
        <v/>
      </c>
      <c r="B228" t="str">
        <f>IF('Item Totals'!A228="","",'Item Totals'!A228)</f>
        <v/>
      </c>
      <c r="C228" t="str">
        <f>IF('Item Totals'!A228="","",'Item Totals'!F228)</f>
        <v/>
      </c>
    </row>
    <row r="229" spans="1:3">
      <c r="A229" t="str">
        <f>IF('Item Totals'!A229="","",'Item Totals'!B229)</f>
        <v/>
      </c>
      <c r="B229" t="str">
        <f>IF('Item Totals'!A229="","",'Item Totals'!A229)</f>
        <v/>
      </c>
      <c r="C229" t="str">
        <f>IF('Item Totals'!A229="","",'Item Totals'!F229)</f>
        <v/>
      </c>
    </row>
    <row r="230" spans="1:3">
      <c r="A230" t="str">
        <f>IF('Item Totals'!A230="","",'Item Totals'!B230)</f>
        <v/>
      </c>
      <c r="B230" t="str">
        <f>IF('Item Totals'!A230="","",'Item Totals'!A230)</f>
        <v/>
      </c>
      <c r="C230" t="str">
        <f>IF('Item Totals'!A230="","",'Item Totals'!F230)</f>
        <v/>
      </c>
    </row>
    <row r="231" spans="1:3">
      <c r="A231" t="str">
        <f>IF('Item Totals'!A231="","",'Item Totals'!B231)</f>
        <v/>
      </c>
      <c r="B231" t="str">
        <f>IF('Item Totals'!A231="","",'Item Totals'!A231)</f>
        <v/>
      </c>
      <c r="C231" t="str">
        <f>IF('Item Totals'!A231="","",'Item Totals'!F231)</f>
        <v/>
      </c>
    </row>
    <row r="232" spans="1:3">
      <c r="A232" t="str">
        <f>IF('Item Totals'!A232="","",'Item Totals'!B232)</f>
        <v/>
      </c>
      <c r="B232" t="str">
        <f>IF('Item Totals'!A232="","",'Item Totals'!A232)</f>
        <v/>
      </c>
      <c r="C232" t="str">
        <f>IF('Item Totals'!A232="","",'Item Totals'!F232)</f>
        <v/>
      </c>
    </row>
    <row r="233" spans="1:3">
      <c r="A233" t="str">
        <f>IF('Item Totals'!A233="","",'Item Totals'!B233)</f>
        <v/>
      </c>
      <c r="B233" t="str">
        <f>IF('Item Totals'!A233="","",'Item Totals'!A233)</f>
        <v/>
      </c>
      <c r="C233" t="str">
        <f>IF('Item Totals'!A233="","",'Item Totals'!F233)</f>
        <v/>
      </c>
    </row>
    <row r="234" spans="1:3">
      <c r="A234" t="str">
        <f>IF('Item Totals'!A234="","",'Item Totals'!B234)</f>
        <v/>
      </c>
      <c r="B234" t="str">
        <f>IF('Item Totals'!A234="","",'Item Totals'!A234)</f>
        <v/>
      </c>
      <c r="C234" t="str">
        <f>IF('Item Totals'!A234="","",'Item Totals'!F234)</f>
        <v/>
      </c>
    </row>
    <row r="235" spans="1:3">
      <c r="A235" t="str">
        <f>IF('Item Totals'!A235="","",'Item Totals'!B235)</f>
        <v/>
      </c>
      <c r="B235" t="str">
        <f>IF('Item Totals'!A235="","",'Item Totals'!A235)</f>
        <v/>
      </c>
      <c r="C235" t="str">
        <f>IF('Item Totals'!A235="","",'Item Totals'!F235)</f>
        <v/>
      </c>
    </row>
    <row r="236" spans="1:3">
      <c r="A236" t="str">
        <f>IF('Item Totals'!A236="","",'Item Totals'!B236)</f>
        <v/>
      </c>
      <c r="B236" t="str">
        <f>IF('Item Totals'!A236="","",'Item Totals'!A236)</f>
        <v/>
      </c>
      <c r="C236" t="str">
        <f>IF('Item Totals'!A236="","",'Item Totals'!F236)</f>
        <v/>
      </c>
    </row>
    <row r="237" spans="1:3">
      <c r="A237" t="str">
        <f>IF('Item Totals'!A237="","",'Item Totals'!B237)</f>
        <v/>
      </c>
      <c r="B237" t="str">
        <f>IF('Item Totals'!A237="","",'Item Totals'!A237)</f>
        <v/>
      </c>
      <c r="C237" t="str">
        <f>IF('Item Totals'!A237="","",'Item Totals'!F237)</f>
        <v/>
      </c>
    </row>
    <row r="238" spans="1:3">
      <c r="A238" t="str">
        <f>IF('Item Totals'!A238="","",'Item Totals'!B238)</f>
        <v/>
      </c>
      <c r="B238" t="str">
        <f>IF('Item Totals'!A238="","",'Item Totals'!A238)</f>
        <v/>
      </c>
      <c r="C238" t="str">
        <f>IF('Item Totals'!A238="","",'Item Totals'!F238)</f>
        <v/>
      </c>
    </row>
    <row r="239" spans="1:3">
      <c r="A239" t="str">
        <f>IF('Item Totals'!A239="","",'Item Totals'!B239)</f>
        <v/>
      </c>
      <c r="B239" t="str">
        <f>IF('Item Totals'!A239="","",'Item Totals'!A239)</f>
        <v/>
      </c>
      <c r="C239" t="str">
        <f>IF('Item Totals'!A239="","",'Item Totals'!F239)</f>
        <v/>
      </c>
    </row>
    <row r="240" spans="1:3">
      <c r="A240" t="str">
        <f>IF('Item Totals'!A240="","",'Item Totals'!B240)</f>
        <v/>
      </c>
      <c r="B240" t="str">
        <f>IF('Item Totals'!A240="","",'Item Totals'!A240)</f>
        <v/>
      </c>
      <c r="C240" t="str">
        <f>IF('Item Totals'!A240="","",'Item Totals'!F240)</f>
        <v/>
      </c>
    </row>
    <row r="241" spans="1:3">
      <c r="A241" t="str">
        <f>IF('Item Totals'!A241="","",'Item Totals'!B241)</f>
        <v/>
      </c>
      <c r="B241" t="str">
        <f>IF('Item Totals'!A241="","",'Item Totals'!A241)</f>
        <v/>
      </c>
      <c r="C241" t="str">
        <f>IF('Item Totals'!A241="","",'Item Totals'!F241)</f>
        <v/>
      </c>
    </row>
    <row r="242" spans="1:3">
      <c r="A242" t="str">
        <f>IF('Item Totals'!A242="","",'Item Totals'!B242)</f>
        <v/>
      </c>
      <c r="B242" t="str">
        <f>IF('Item Totals'!A242="","",'Item Totals'!A242)</f>
        <v/>
      </c>
      <c r="C242" t="str">
        <f>IF('Item Totals'!A242="","",'Item Totals'!F242)</f>
        <v/>
      </c>
    </row>
    <row r="243" spans="1:3">
      <c r="A243" t="str">
        <f>IF('Item Totals'!A243="","",'Item Totals'!B243)</f>
        <v/>
      </c>
      <c r="B243" t="str">
        <f>IF('Item Totals'!A243="","",'Item Totals'!A243)</f>
        <v/>
      </c>
      <c r="C243" t="str">
        <f>IF('Item Totals'!A243="","",'Item Totals'!F243)</f>
        <v/>
      </c>
    </row>
    <row r="244" spans="1:3">
      <c r="A244" t="str">
        <f>IF('Item Totals'!A244="","",'Item Totals'!B244)</f>
        <v/>
      </c>
      <c r="B244" t="str">
        <f>IF('Item Totals'!A244="","",'Item Totals'!A244)</f>
        <v/>
      </c>
      <c r="C244" t="str">
        <f>IF('Item Totals'!A244="","",'Item Totals'!F244)</f>
        <v/>
      </c>
    </row>
    <row r="245" spans="1:3">
      <c r="A245" t="str">
        <f>IF('Item Totals'!A245="","",'Item Totals'!B245)</f>
        <v/>
      </c>
      <c r="B245" t="str">
        <f>IF('Item Totals'!A245="","",'Item Totals'!A245)</f>
        <v/>
      </c>
      <c r="C245" t="str">
        <f>IF('Item Totals'!A245="","",'Item Totals'!F245)</f>
        <v/>
      </c>
    </row>
    <row r="246" spans="1:3">
      <c r="A246" t="str">
        <f>IF('Item Totals'!A246="","",'Item Totals'!B246)</f>
        <v/>
      </c>
      <c r="B246" t="str">
        <f>IF('Item Totals'!A246="","",'Item Totals'!A246)</f>
        <v/>
      </c>
      <c r="C246" t="str">
        <f>IF('Item Totals'!A246="","",'Item Totals'!F246)</f>
        <v/>
      </c>
    </row>
    <row r="247" spans="1:3">
      <c r="A247" t="str">
        <f>IF('Item Totals'!A247="","",'Item Totals'!B247)</f>
        <v/>
      </c>
      <c r="B247" t="str">
        <f>IF('Item Totals'!A247="","",'Item Totals'!A247)</f>
        <v/>
      </c>
      <c r="C247" t="str">
        <f>IF('Item Totals'!A247="","",'Item Totals'!F247)</f>
        <v/>
      </c>
    </row>
    <row r="248" spans="1:3">
      <c r="A248" t="str">
        <f>IF('Item Totals'!A248="","",'Item Totals'!B248)</f>
        <v/>
      </c>
      <c r="B248" t="str">
        <f>IF('Item Totals'!A248="","",'Item Totals'!A248)</f>
        <v/>
      </c>
      <c r="C248" t="str">
        <f>IF('Item Totals'!A248="","",'Item Totals'!F248)</f>
        <v/>
      </c>
    </row>
    <row r="249" spans="1:3">
      <c r="A249" t="str">
        <f>IF('Item Totals'!A249="","",'Item Totals'!B249)</f>
        <v/>
      </c>
      <c r="B249" t="str">
        <f>IF('Item Totals'!A249="","",'Item Totals'!A249)</f>
        <v/>
      </c>
      <c r="C249" t="str">
        <f>IF('Item Totals'!A249="","",'Item Totals'!F249)</f>
        <v/>
      </c>
    </row>
    <row r="250" spans="1:3">
      <c r="A250" t="str">
        <f>IF('Item Totals'!A250="","",'Item Totals'!B250)</f>
        <v/>
      </c>
      <c r="B250" t="str">
        <f>IF('Item Totals'!A250="","",'Item Totals'!A250)</f>
        <v/>
      </c>
      <c r="C250" t="str">
        <f>IF('Item Totals'!A250="","",'Item Totals'!F250)</f>
        <v/>
      </c>
    </row>
    <row r="251" spans="1:3">
      <c r="A251" t="str">
        <f>IF('Item Totals'!A251="","",'Item Totals'!B251)</f>
        <v/>
      </c>
      <c r="B251" t="str">
        <f>IF('Item Totals'!A251="","",'Item Totals'!A251)</f>
        <v/>
      </c>
      <c r="C251" t="str">
        <f>IF('Item Totals'!A251="","",'Item Totals'!F251)</f>
        <v/>
      </c>
    </row>
    <row r="252" spans="1:3">
      <c r="A252" t="str">
        <f>IF('Item Totals'!A252="","",'Item Totals'!B252)</f>
        <v/>
      </c>
      <c r="B252" t="str">
        <f>IF('Item Totals'!A252="","",'Item Totals'!A252)</f>
        <v/>
      </c>
      <c r="C252" t="str">
        <f>IF('Item Totals'!A252="","",'Item Totals'!F252)</f>
        <v/>
      </c>
    </row>
    <row r="253" spans="1:3">
      <c r="A253" t="str">
        <f>IF('Item Totals'!A253="","",'Item Totals'!B253)</f>
        <v/>
      </c>
      <c r="B253" t="str">
        <f>IF('Item Totals'!A253="","",'Item Totals'!A253)</f>
        <v/>
      </c>
      <c r="C253" t="str">
        <f>IF('Item Totals'!A253="","",'Item Totals'!F253)</f>
        <v/>
      </c>
    </row>
    <row r="254" spans="1:3">
      <c r="A254" t="str">
        <f>IF('Item Totals'!A254="","",'Item Totals'!B254)</f>
        <v/>
      </c>
      <c r="B254" t="str">
        <f>IF('Item Totals'!A254="","",'Item Totals'!A254)</f>
        <v/>
      </c>
      <c r="C254" t="str">
        <f>IF('Item Totals'!A254="","",'Item Totals'!F254)</f>
        <v/>
      </c>
    </row>
    <row r="255" spans="1:3">
      <c r="A255" t="str">
        <f>IF('Item Totals'!A255="","",'Item Totals'!B255)</f>
        <v/>
      </c>
      <c r="B255" t="str">
        <f>IF('Item Totals'!A255="","",'Item Totals'!A255)</f>
        <v/>
      </c>
      <c r="C255" t="str">
        <f>IF('Item Totals'!A255="","",'Item Totals'!F255)</f>
        <v/>
      </c>
    </row>
    <row r="256" spans="1:3">
      <c r="A256" t="str">
        <f>IF('Item Totals'!A256="","",'Item Totals'!B256)</f>
        <v/>
      </c>
      <c r="B256" t="str">
        <f>IF('Item Totals'!A256="","",'Item Totals'!A256)</f>
        <v/>
      </c>
      <c r="C256" t="str">
        <f>IF('Item Totals'!A256="","",'Item Totals'!F256)</f>
        <v/>
      </c>
    </row>
    <row r="257" spans="1:3">
      <c r="A257" t="str">
        <f>IF('Item Totals'!A257="","",'Item Totals'!B257)</f>
        <v/>
      </c>
      <c r="B257" t="str">
        <f>IF('Item Totals'!A257="","",'Item Totals'!A257)</f>
        <v/>
      </c>
      <c r="C257" t="str">
        <f>IF('Item Totals'!A257="","",'Item Totals'!F257)</f>
        <v/>
      </c>
    </row>
    <row r="258" spans="1:3">
      <c r="A258" t="str">
        <f>IF('Item Totals'!A258="","",'Item Totals'!B258)</f>
        <v/>
      </c>
      <c r="B258" t="str">
        <f>IF('Item Totals'!A258="","",'Item Totals'!A258)</f>
        <v/>
      </c>
      <c r="C258" t="str">
        <f>IF('Item Totals'!A258="","",'Item Totals'!F258)</f>
        <v/>
      </c>
    </row>
    <row r="259" spans="1:3">
      <c r="A259" t="str">
        <f>IF('Item Totals'!A259="","",'Item Totals'!B259)</f>
        <v/>
      </c>
      <c r="B259" t="str">
        <f>IF('Item Totals'!A259="","",'Item Totals'!A259)</f>
        <v/>
      </c>
      <c r="C259" t="str">
        <f>IF('Item Totals'!A259="","",'Item Totals'!F259)</f>
        <v/>
      </c>
    </row>
    <row r="260" spans="1:3">
      <c r="A260" t="str">
        <f>IF('Item Totals'!A260="","",'Item Totals'!B260)</f>
        <v/>
      </c>
      <c r="B260" t="str">
        <f>IF('Item Totals'!A260="","",'Item Totals'!A260)</f>
        <v/>
      </c>
      <c r="C260" t="str">
        <f>IF('Item Totals'!A260="","",'Item Totals'!F260)</f>
        <v/>
      </c>
    </row>
    <row r="261" spans="1:3">
      <c r="A261" t="str">
        <f>IF('Item Totals'!A261="","",'Item Totals'!B261)</f>
        <v/>
      </c>
      <c r="B261" t="str">
        <f>IF('Item Totals'!A261="","",'Item Totals'!A261)</f>
        <v/>
      </c>
      <c r="C261" t="str">
        <f>IF('Item Totals'!A261="","",'Item Totals'!F261)</f>
        <v/>
      </c>
    </row>
    <row r="262" spans="1:3">
      <c r="A262" t="str">
        <f>IF('Item Totals'!A262="","",'Item Totals'!B262)</f>
        <v/>
      </c>
      <c r="B262" t="str">
        <f>IF('Item Totals'!A262="","",'Item Totals'!A262)</f>
        <v/>
      </c>
      <c r="C262" t="str">
        <f>IF('Item Totals'!A262="","",'Item Totals'!F262)</f>
        <v/>
      </c>
    </row>
    <row r="263" spans="1:3">
      <c r="A263" t="str">
        <f>IF('Item Totals'!A263="","",'Item Totals'!B263)</f>
        <v/>
      </c>
      <c r="B263" t="str">
        <f>IF('Item Totals'!A263="","",'Item Totals'!A263)</f>
        <v/>
      </c>
      <c r="C263" t="str">
        <f>IF('Item Totals'!A263="","",'Item Totals'!F263)</f>
        <v/>
      </c>
    </row>
    <row r="264" spans="1:3">
      <c r="A264" t="str">
        <f>IF('Item Totals'!A264="","",'Item Totals'!B264)</f>
        <v/>
      </c>
      <c r="B264" t="str">
        <f>IF('Item Totals'!A264="","",'Item Totals'!A264)</f>
        <v/>
      </c>
      <c r="C264" t="str">
        <f>IF('Item Totals'!A264="","",'Item Totals'!F264)</f>
        <v/>
      </c>
    </row>
    <row r="265" spans="1:3">
      <c r="A265" t="str">
        <f>IF('Item Totals'!A265="","",'Item Totals'!B265)</f>
        <v/>
      </c>
      <c r="B265" t="str">
        <f>IF('Item Totals'!A265="","",'Item Totals'!A265)</f>
        <v/>
      </c>
      <c r="C265" t="str">
        <f>IF('Item Totals'!A265="","",'Item Totals'!F265)</f>
        <v/>
      </c>
    </row>
    <row r="266" spans="1:3">
      <c r="A266" t="str">
        <f>IF('Item Totals'!A266="","",'Item Totals'!B266)</f>
        <v/>
      </c>
      <c r="B266" t="str">
        <f>IF('Item Totals'!A266="","",'Item Totals'!A266)</f>
        <v/>
      </c>
      <c r="C266" t="str">
        <f>IF('Item Totals'!A266="","",'Item Totals'!F266)</f>
        <v/>
      </c>
    </row>
    <row r="267" spans="1:3">
      <c r="A267" t="str">
        <f>IF('Item Totals'!A267="","",'Item Totals'!B267)</f>
        <v/>
      </c>
      <c r="B267" t="str">
        <f>IF('Item Totals'!A267="","",'Item Totals'!A267)</f>
        <v/>
      </c>
      <c r="C267" t="str">
        <f>IF('Item Totals'!A267="","",'Item Totals'!F267)</f>
        <v/>
      </c>
    </row>
    <row r="268" spans="1:3">
      <c r="A268" t="str">
        <f>IF('Item Totals'!A268="","",'Item Totals'!B268)</f>
        <v/>
      </c>
      <c r="B268" t="str">
        <f>IF('Item Totals'!A268="","",'Item Totals'!A268)</f>
        <v/>
      </c>
      <c r="C268" t="str">
        <f>IF('Item Totals'!A268="","",'Item Totals'!F268)</f>
        <v/>
      </c>
    </row>
    <row r="269" spans="1:3">
      <c r="A269" t="str">
        <f>IF('Item Totals'!A269="","",'Item Totals'!B269)</f>
        <v/>
      </c>
      <c r="B269" t="str">
        <f>IF('Item Totals'!A269="","",'Item Totals'!A269)</f>
        <v/>
      </c>
      <c r="C269" t="str">
        <f>IF('Item Totals'!A269="","",'Item Totals'!F269)</f>
        <v/>
      </c>
    </row>
    <row r="270" spans="1:3">
      <c r="A270" t="str">
        <f>IF('Item Totals'!A270="","",'Item Totals'!B270)</f>
        <v/>
      </c>
      <c r="B270" t="str">
        <f>IF('Item Totals'!A270="","",'Item Totals'!A270)</f>
        <v/>
      </c>
      <c r="C270" t="str">
        <f>IF('Item Totals'!A270="","",'Item Totals'!F270)</f>
        <v/>
      </c>
    </row>
    <row r="271" spans="1:3">
      <c r="A271" t="str">
        <f>IF('Item Totals'!A271="","",'Item Totals'!B271)</f>
        <v/>
      </c>
      <c r="B271" t="str">
        <f>IF('Item Totals'!A271="","",'Item Totals'!A271)</f>
        <v/>
      </c>
      <c r="C271" t="str">
        <f>IF('Item Totals'!A271="","",'Item Totals'!F271)</f>
        <v/>
      </c>
    </row>
    <row r="272" spans="1:3">
      <c r="A272" t="str">
        <f>IF('Item Totals'!A272="","",'Item Totals'!B272)</f>
        <v/>
      </c>
      <c r="B272" t="str">
        <f>IF('Item Totals'!A272="","",'Item Totals'!A272)</f>
        <v/>
      </c>
      <c r="C272" t="str">
        <f>IF('Item Totals'!A272="","",'Item Totals'!F272)</f>
        <v/>
      </c>
    </row>
    <row r="273" spans="1:3">
      <c r="A273" t="str">
        <f>IF('Item Totals'!A273="","",'Item Totals'!B273)</f>
        <v/>
      </c>
      <c r="B273" t="str">
        <f>IF('Item Totals'!A273="","",'Item Totals'!A273)</f>
        <v/>
      </c>
      <c r="C273" t="str">
        <f>IF('Item Totals'!A273="","",'Item Totals'!F273)</f>
        <v/>
      </c>
    </row>
    <row r="274" spans="1:3">
      <c r="A274" t="str">
        <f>IF('Item Totals'!A274="","",'Item Totals'!B274)</f>
        <v/>
      </c>
      <c r="B274" t="str">
        <f>IF('Item Totals'!A274="","",'Item Totals'!A274)</f>
        <v/>
      </c>
      <c r="C274" t="str">
        <f>IF('Item Totals'!A274="","",'Item Totals'!F274)</f>
        <v/>
      </c>
    </row>
    <row r="275" spans="1:3">
      <c r="A275" t="str">
        <f>IF('Item Totals'!A275="","",'Item Totals'!B275)</f>
        <v/>
      </c>
      <c r="B275" t="str">
        <f>IF('Item Totals'!A275="","",'Item Totals'!A275)</f>
        <v/>
      </c>
      <c r="C275" t="str">
        <f>IF('Item Totals'!A275="","",'Item Totals'!F275)</f>
        <v/>
      </c>
    </row>
    <row r="276" spans="1:3">
      <c r="A276" t="str">
        <f>IF('Item Totals'!A276="","",'Item Totals'!B276)</f>
        <v/>
      </c>
      <c r="B276" t="str">
        <f>IF('Item Totals'!A276="","",'Item Totals'!A276)</f>
        <v/>
      </c>
      <c r="C276" t="str">
        <f>IF('Item Totals'!A276="","",'Item Totals'!F276)</f>
        <v/>
      </c>
    </row>
    <row r="277" spans="1:3">
      <c r="A277" t="str">
        <f>IF('Item Totals'!A277="","",'Item Totals'!B277)</f>
        <v/>
      </c>
      <c r="B277" t="str">
        <f>IF('Item Totals'!A277="","",'Item Totals'!A277)</f>
        <v/>
      </c>
      <c r="C277" t="str">
        <f>IF('Item Totals'!A277="","",'Item Totals'!F277)</f>
        <v/>
      </c>
    </row>
    <row r="278" spans="1:3">
      <c r="A278" t="str">
        <f>IF('Item Totals'!A278="","",'Item Totals'!B278)</f>
        <v/>
      </c>
      <c r="B278" t="str">
        <f>IF('Item Totals'!A278="","",'Item Totals'!A278)</f>
        <v/>
      </c>
      <c r="C278" t="str">
        <f>IF('Item Totals'!A278="","",'Item Totals'!F278)</f>
        <v/>
      </c>
    </row>
    <row r="279" spans="1:3">
      <c r="A279" t="str">
        <f>IF('Item Totals'!A279="","",'Item Totals'!B279)</f>
        <v/>
      </c>
      <c r="B279" t="str">
        <f>IF('Item Totals'!A279="","",'Item Totals'!A279)</f>
        <v/>
      </c>
      <c r="C279" t="str">
        <f>IF('Item Totals'!A279="","",'Item Totals'!F279)</f>
        <v/>
      </c>
    </row>
    <row r="280" spans="1:3">
      <c r="A280" t="str">
        <f>IF('Item Totals'!A280="","",'Item Totals'!B280)</f>
        <v/>
      </c>
      <c r="B280" t="str">
        <f>IF('Item Totals'!A280="","",'Item Totals'!A280)</f>
        <v/>
      </c>
      <c r="C280" t="str">
        <f>IF('Item Totals'!A280="","",'Item Totals'!F280)</f>
        <v/>
      </c>
    </row>
    <row r="281" spans="1:3">
      <c r="A281" t="str">
        <f>IF('Item Totals'!A281="","",'Item Totals'!B281)</f>
        <v/>
      </c>
      <c r="B281" t="str">
        <f>IF('Item Totals'!A281="","",'Item Totals'!A281)</f>
        <v/>
      </c>
      <c r="C281" t="str">
        <f>IF('Item Totals'!A281="","",'Item Totals'!F281)</f>
        <v/>
      </c>
    </row>
    <row r="282" spans="1:3">
      <c r="A282" t="str">
        <f>IF('Item Totals'!A282="","",'Item Totals'!B282)</f>
        <v/>
      </c>
      <c r="B282" t="str">
        <f>IF('Item Totals'!A282="","",'Item Totals'!A282)</f>
        <v/>
      </c>
      <c r="C282" t="str">
        <f>IF('Item Totals'!A282="","",'Item Totals'!F282)</f>
        <v/>
      </c>
    </row>
    <row r="283" spans="1:3">
      <c r="A283" t="str">
        <f>IF('Item Totals'!A283="","",'Item Totals'!B283)</f>
        <v/>
      </c>
      <c r="B283" t="str">
        <f>IF('Item Totals'!A283="","",'Item Totals'!A283)</f>
        <v/>
      </c>
      <c r="C283" t="str">
        <f>IF('Item Totals'!A283="","",'Item Totals'!F283)</f>
        <v/>
      </c>
    </row>
    <row r="284" spans="1:3">
      <c r="A284" t="str">
        <f>IF('Item Totals'!A284="","",'Item Totals'!B284)</f>
        <v/>
      </c>
      <c r="B284" t="str">
        <f>IF('Item Totals'!A284="","",'Item Totals'!A284)</f>
        <v/>
      </c>
      <c r="C284" t="str">
        <f>IF('Item Totals'!A284="","",'Item Totals'!F284)</f>
        <v/>
      </c>
    </row>
    <row r="285" spans="1:3">
      <c r="A285" t="str">
        <f>IF('Item Totals'!A285="","",'Item Totals'!B285)</f>
        <v/>
      </c>
      <c r="B285" t="str">
        <f>IF('Item Totals'!A285="","",'Item Totals'!A285)</f>
        <v/>
      </c>
      <c r="C285" t="str">
        <f>IF('Item Totals'!A285="","",'Item Totals'!F285)</f>
        <v/>
      </c>
    </row>
    <row r="286" spans="1:3">
      <c r="A286" t="str">
        <f>IF('Item Totals'!A286="","",'Item Totals'!B286)</f>
        <v/>
      </c>
      <c r="B286" t="str">
        <f>IF('Item Totals'!A286="","",'Item Totals'!A286)</f>
        <v/>
      </c>
      <c r="C286" t="str">
        <f>IF('Item Totals'!A286="","",'Item Totals'!F286)</f>
        <v/>
      </c>
    </row>
    <row r="287" spans="1:3">
      <c r="A287" t="str">
        <f>IF('Item Totals'!A287="","",'Item Totals'!B287)</f>
        <v/>
      </c>
      <c r="B287" t="str">
        <f>IF('Item Totals'!A287="","",'Item Totals'!A287)</f>
        <v/>
      </c>
      <c r="C287" t="str">
        <f>IF('Item Totals'!A287="","",'Item Totals'!F287)</f>
        <v/>
      </c>
    </row>
    <row r="288" spans="1:3">
      <c r="A288" t="str">
        <f>IF('Item Totals'!A288="","",'Item Totals'!B288)</f>
        <v/>
      </c>
      <c r="B288" t="str">
        <f>IF('Item Totals'!A288="","",'Item Totals'!A288)</f>
        <v/>
      </c>
      <c r="C288" t="str">
        <f>IF('Item Totals'!A288="","",'Item Totals'!F288)</f>
        <v/>
      </c>
    </row>
    <row r="289" spans="1:3">
      <c r="A289" t="str">
        <f>IF('Item Totals'!A289="","",'Item Totals'!B289)</f>
        <v/>
      </c>
      <c r="B289" t="str">
        <f>IF('Item Totals'!A289="","",'Item Totals'!A289)</f>
        <v/>
      </c>
      <c r="C289" t="str">
        <f>IF('Item Totals'!A289="","",'Item Totals'!F289)</f>
        <v/>
      </c>
    </row>
    <row r="290" spans="1:3">
      <c r="A290" t="str">
        <f>IF('Item Totals'!A290="","",'Item Totals'!B290)</f>
        <v/>
      </c>
      <c r="B290" t="str">
        <f>IF('Item Totals'!A290="","",'Item Totals'!A290)</f>
        <v/>
      </c>
      <c r="C290" t="str">
        <f>IF('Item Totals'!A290="","",'Item Totals'!F290)</f>
        <v/>
      </c>
    </row>
    <row r="291" spans="1:3">
      <c r="A291" t="str">
        <f>IF('Item Totals'!A291="","",'Item Totals'!B291)</f>
        <v/>
      </c>
      <c r="B291" t="str">
        <f>IF('Item Totals'!A291="","",'Item Totals'!A291)</f>
        <v/>
      </c>
      <c r="C291" t="str">
        <f>IF('Item Totals'!A291="","",'Item Totals'!F291)</f>
        <v/>
      </c>
    </row>
    <row r="292" spans="1:3">
      <c r="A292" t="str">
        <f>IF('Item Totals'!A292="","",'Item Totals'!B292)</f>
        <v/>
      </c>
      <c r="B292" t="str">
        <f>IF('Item Totals'!A292="","",'Item Totals'!A292)</f>
        <v/>
      </c>
      <c r="C292" t="str">
        <f>IF('Item Totals'!A292="","",'Item Totals'!F292)</f>
        <v/>
      </c>
    </row>
    <row r="293" spans="1:3">
      <c r="A293" t="str">
        <f>IF('Item Totals'!A293="","",'Item Totals'!B293)</f>
        <v/>
      </c>
      <c r="B293" t="str">
        <f>IF('Item Totals'!A293="","",'Item Totals'!A293)</f>
        <v/>
      </c>
      <c r="C293" t="str">
        <f>IF('Item Totals'!A293="","",'Item Totals'!F293)</f>
        <v/>
      </c>
    </row>
    <row r="294" spans="1:3">
      <c r="A294" t="str">
        <f>IF('Item Totals'!A294="","",'Item Totals'!B294)</f>
        <v/>
      </c>
      <c r="B294" t="str">
        <f>IF('Item Totals'!A294="","",'Item Totals'!A294)</f>
        <v/>
      </c>
      <c r="C294" t="str">
        <f>IF('Item Totals'!A294="","",'Item Totals'!F294)</f>
        <v/>
      </c>
    </row>
    <row r="295" spans="1:3">
      <c r="A295" t="str">
        <f>IF('Item Totals'!A295="","",'Item Totals'!B295)</f>
        <v/>
      </c>
      <c r="B295" t="str">
        <f>IF('Item Totals'!A295="","",'Item Totals'!A295)</f>
        <v/>
      </c>
      <c r="C295" t="str">
        <f>IF('Item Totals'!A295="","",'Item Totals'!F295)</f>
        <v/>
      </c>
    </row>
    <row r="296" spans="1:3">
      <c r="A296" t="str">
        <f>IF('Item Totals'!A296="","",'Item Totals'!B296)</f>
        <v/>
      </c>
      <c r="B296" t="str">
        <f>IF('Item Totals'!A296="","",'Item Totals'!A296)</f>
        <v/>
      </c>
      <c r="C296" t="str">
        <f>IF('Item Totals'!A296="","",'Item Totals'!F296)</f>
        <v/>
      </c>
    </row>
    <row r="297" spans="1:3">
      <c r="A297" t="str">
        <f>IF('Item Totals'!A297="","",'Item Totals'!B297)</f>
        <v/>
      </c>
      <c r="B297" t="str">
        <f>IF('Item Totals'!A297="","",'Item Totals'!A297)</f>
        <v/>
      </c>
      <c r="C297" t="str">
        <f>IF('Item Totals'!A297="","",'Item Totals'!F297)</f>
        <v/>
      </c>
    </row>
    <row r="298" spans="1:3">
      <c r="A298" t="str">
        <f>IF('Item Totals'!A298="","",'Item Totals'!B298)</f>
        <v/>
      </c>
      <c r="B298" t="str">
        <f>IF('Item Totals'!A298="","",'Item Totals'!A298)</f>
        <v/>
      </c>
      <c r="C298" t="str">
        <f>IF('Item Totals'!A298="","",'Item Totals'!F298)</f>
        <v/>
      </c>
    </row>
    <row r="299" spans="1:3">
      <c r="A299" t="str">
        <f>IF('Item Totals'!A299="","",'Item Totals'!B299)</f>
        <v/>
      </c>
      <c r="B299" t="str">
        <f>IF('Item Totals'!A299="","",'Item Totals'!A299)</f>
        <v/>
      </c>
      <c r="C299" t="str">
        <f>IF('Item Totals'!A299="","",'Item Totals'!F299)</f>
        <v/>
      </c>
    </row>
    <row r="300" spans="1:3">
      <c r="A300" t="str">
        <f>IF('Item Totals'!A300="","",'Item Totals'!B300)</f>
        <v/>
      </c>
      <c r="B300" t="str">
        <f>IF('Item Totals'!A300="","",'Item Totals'!A300)</f>
        <v/>
      </c>
      <c r="C300" t="str">
        <f>IF('Item Totals'!A300="","",'Item Totals'!F300)</f>
        <v/>
      </c>
    </row>
    <row r="301" spans="1:3">
      <c r="A301" t="str">
        <f>IF('Item Totals'!A301="","",'Item Totals'!B301)</f>
        <v/>
      </c>
      <c r="B301" t="str">
        <f>IF('Item Totals'!A301="","",'Item Totals'!A301)</f>
        <v/>
      </c>
      <c r="C301" t="str">
        <f>IF('Item Totals'!A301="","",'Item Totals'!F301)</f>
        <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pane ySplit="1" topLeftCell="A2" activePane="bottomLeft" state="frozen"/>
      <selection activeCell="A16" sqref="A16"/>
      <selection pane="bottomLeft" activeCell="A16" sqref="A16"/>
    </sheetView>
  </sheetViews>
  <sheetFormatPr defaultRowHeight="15"/>
  <cols>
    <col min="1" max="1" width="38.140625" customWidth="1"/>
  </cols>
  <sheetData>
    <row r="1" spans="1:3">
      <c r="A1" s="1" t="s">
        <v>4</v>
      </c>
      <c r="B1" s="1" t="s">
        <v>5</v>
      </c>
      <c r="C1" s="1" t="s">
        <v>6</v>
      </c>
    </row>
    <row r="2" spans="1:3">
      <c r="A2" t="s">
        <v>7</v>
      </c>
      <c r="B2" t="s">
        <v>8</v>
      </c>
      <c r="C2" t="s">
        <v>9</v>
      </c>
    </row>
    <row r="3" spans="1:3">
      <c r="A3" t="s">
        <v>10</v>
      </c>
      <c r="B3">
        <v>20</v>
      </c>
      <c r="C3" t="s">
        <v>11</v>
      </c>
    </row>
    <row r="4" spans="1:3">
      <c r="A4" t="s">
        <v>12</v>
      </c>
      <c r="B4">
        <v>12.5</v>
      </c>
      <c r="C4" t="s">
        <v>13</v>
      </c>
    </row>
    <row r="5" spans="1:3">
      <c r="A5" t="s">
        <v>14</v>
      </c>
      <c r="B5">
        <v>0</v>
      </c>
      <c r="C5" t="s">
        <v>15</v>
      </c>
    </row>
    <row r="6" spans="1:3">
      <c r="A6" t="s">
        <v>100</v>
      </c>
      <c r="B6">
        <v>33</v>
      </c>
    </row>
    <row r="7" spans="1:3">
      <c r="A7" t="s">
        <v>99</v>
      </c>
      <c r="B7">
        <v>39.5</v>
      </c>
    </row>
    <row r="8" spans="1:3">
      <c r="A8" t="s">
        <v>101</v>
      </c>
      <c r="B8">
        <v>42</v>
      </c>
    </row>
    <row r="9" spans="1:3">
      <c r="A9" t="s">
        <v>103</v>
      </c>
      <c r="B9">
        <v>44</v>
      </c>
    </row>
    <row r="10" spans="1:3">
      <c r="A10" t="s">
        <v>104</v>
      </c>
      <c r="B10">
        <v>18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1"/>
  <sheetViews>
    <sheetView workbookViewId="0">
      <pane ySplit="1" topLeftCell="A2" activePane="bottomLeft" state="frozen"/>
      <selection activeCell="A16" sqref="A16"/>
      <selection pane="bottomLeft" activeCell="A16" sqref="A16"/>
    </sheetView>
  </sheetViews>
  <sheetFormatPr defaultRowHeight="15"/>
  <cols>
    <col min="1" max="1" width="14" customWidth="1"/>
    <col min="2" max="2" width="60" customWidth="1"/>
    <col min="3" max="3" width="45" customWidth="1"/>
    <col min="4" max="4" width="20.140625" customWidth="1"/>
    <col min="5" max="5" width="18" customWidth="1"/>
    <col min="6" max="6" width="10" customWidth="1"/>
    <col min="7" max="7" width="14" customWidth="1"/>
    <col min="8" max="8" width="12" customWidth="1"/>
    <col min="9" max="9" width="14" customWidth="1"/>
    <col min="10" max="12" width="12" customWidth="1"/>
  </cols>
  <sheetData>
    <row r="1" spans="1:12">
      <c r="A1" s="1" t="s">
        <v>16</v>
      </c>
      <c r="B1" s="1" t="s">
        <v>17</v>
      </c>
      <c r="C1" s="1" t="s">
        <v>18</v>
      </c>
      <c r="D1" s="1" t="s">
        <v>19</v>
      </c>
      <c r="E1" s="1" t="s">
        <v>20</v>
      </c>
      <c r="F1" s="1" t="s">
        <v>21</v>
      </c>
      <c r="G1" s="1" t="s">
        <v>22</v>
      </c>
      <c r="H1" s="1" t="s">
        <v>23</v>
      </c>
      <c r="I1" s="1" t="s">
        <v>24</v>
      </c>
      <c r="J1" s="1" t="s">
        <v>25</v>
      </c>
      <c r="K1" s="1" t="s">
        <v>26</v>
      </c>
      <c r="L1" s="1" t="s">
        <v>27</v>
      </c>
    </row>
    <row r="2" spans="1:12">
      <c r="A2" t="s">
        <v>28</v>
      </c>
      <c r="B2" t="s">
        <v>79</v>
      </c>
      <c r="C2" t="s">
        <v>82</v>
      </c>
      <c r="D2">
        <v>0</v>
      </c>
      <c r="E2" t="s">
        <v>29</v>
      </c>
      <c r="F2">
        <v>1</v>
      </c>
      <c r="G2">
        <f>IF(AND($A2="Starter",$F2=1),SUMPRODUCT(($A$2:$A2="Starter")*($F$2:$F2=1)),"")</f>
        <v>1</v>
      </c>
      <c r="H2" t="str">
        <f>IF(AND($A2="Main",$F2=1),SUMPRODUCT(($A$2:$A2="Main")*($F$2:$F2=1)),"")</f>
        <v/>
      </c>
      <c r="I2" t="str">
        <f>IF(AND($A2="Dessert",$F2=1),SUMPRODUCT(($A$2:$A2="Dessert")*($F$2:$F2=1)),"")</f>
        <v/>
      </c>
      <c r="J2" t="str">
        <f>IF(AND($A2="Side",$F2=1),SUMPRODUCT(($A$2:$A2="Side")*($F$2:$F2=1)),"")</f>
        <v/>
      </c>
      <c r="K2" t="str">
        <f>IF(AND($A2="Drink",$F2=1),SUMPRODUCT(($A$2:$A2="Drink")*($F$2:$F2=1)),"")</f>
        <v/>
      </c>
      <c r="L2">
        <f>IF($F2=1,SUMPRODUCT(($F$2:$F2=1)*1),"")</f>
        <v>1</v>
      </c>
    </row>
    <row r="3" spans="1:12">
      <c r="A3" t="s">
        <v>28</v>
      </c>
      <c r="B3" t="s">
        <v>80</v>
      </c>
      <c r="C3" t="s">
        <v>81</v>
      </c>
      <c r="D3">
        <v>0</v>
      </c>
      <c r="E3" t="s">
        <v>29</v>
      </c>
      <c r="F3">
        <v>1</v>
      </c>
      <c r="G3">
        <f>IF(AND($A3="Starter",$F3=1),SUMPRODUCT(($A$2:$A3="Starter")*($F$2:$F3=1)),"")</f>
        <v>2</v>
      </c>
      <c r="H3" t="str">
        <f>IF(AND($A3="Main",$F3=1),SUMPRODUCT(($A$2:$A3="Main")*($F$2:$F3=1)),"")</f>
        <v/>
      </c>
      <c r="I3" t="str">
        <f>IF(AND($A3="Dessert",$F3=1),SUMPRODUCT(($A$2:$A3="Dessert")*($F$2:$F3=1)),"")</f>
        <v/>
      </c>
      <c r="J3" t="str">
        <f>IF(AND($A3="Side",$F3=1),SUMPRODUCT(($A$2:$A3="Side")*($F$2:$F3=1)),"")</f>
        <v/>
      </c>
      <c r="K3" t="str">
        <f>IF(AND($A3="Drink",$F3=1),SUMPRODUCT(($A$2:$A3="Drink")*($F$2:$F3=1)),"")</f>
        <v/>
      </c>
      <c r="L3">
        <f>IF($F3=1,SUMPRODUCT(($F$2:$F3=1)*1),"")</f>
        <v>2</v>
      </c>
    </row>
    <row r="4" spans="1:12">
      <c r="A4" t="s">
        <v>28</v>
      </c>
      <c r="B4" t="s">
        <v>83</v>
      </c>
      <c r="C4" t="s">
        <v>84</v>
      </c>
      <c r="D4">
        <v>0</v>
      </c>
      <c r="E4" t="s">
        <v>29</v>
      </c>
      <c r="F4">
        <v>1</v>
      </c>
      <c r="G4">
        <f>IF(AND($A4="Starter",$F4=1),SUMPRODUCT(($A$2:$A4="Starter")*($F$2:$F4=1)),"")</f>
        <v>3</v>
      </c>
      <c r="H4" t="str">
        <f>IF(AND($A4="Main",$F4=1),SUMPRODUCT(($A$2:$A4="Main")*($F$2:$F4=1)),"")</f>
        <v/>
      </c>
      <c r="I4" t="str">
        <f>IF(AND($A4="Dessert",$F4=1),SUMPRODUCT(($A$2:$A4="Dessert")*($F$2:$F4=1)),"")</f>
        <v/>
      </c>
      <c r="J4" t="str">
        <f>IF(AND($A4="Side",$F4=1),SUMPRODUCT(($A$2:$A4="Side")*($F$2:$F4=1)),"")</f>
        <v/>
      </c>
      <c r="K4" t="str">
        <f>IF(AND($A4="Drink",$F4=1),SUMPRODUCT(($A$2:$A4="Drink")*($F$2:$F4=1)),"")</f>
        <v/>
      </c>
      <c r="L4">
        <f>IF($F4=1,SUMPRODUCT(($F$2:$F4=1)*1),"")</f>
        <v>3</v>
      </c>
    </row>
    <row r="5" spans="1:12">
      <c r="A5" t="s">
        <v>28</v>
      </c>
      <c r="B5" t="s">
        <v>85</v>
      </c>
      <c r="C5" t="s">
        <v>86</v>
      </c>
      <c r="D5">
        <v>0</v>
      </c>
      <c r="F5">
        <v>1</v>
      </c>
      <c r="G5">
        <f>IF(AND($A5="Starter",$F5=1),SUMPRODUCT(($A$2:$A5="Starter")*($F$2:$F5=1)),"")</f>
        <v>4</v>
      </c>
      <c r="H5" t="str">
        <f>IF(AND($A5="Main",$F5=1),SUMPRODUCT(($A$2:$A5="Main")*($F$2:$F5=1)),"")</f>
        <v/>
      </c>
      <c r="I5" t="str">
        <f>IF(AND($A5="Dessert",$F5=1),SUMPRODUCT(($A$2:$A5="Dessert")*($F$2:$F5=1)),"")</f>
        <v/>
      </c>
      <c r="J5" t="str">
        <f>IF(AND($A5="Side",$F5=1),SUMPRODUCT(($A$2:$A5="Side")*($F$2:$F5=1)),"")</f>
        <v/>
      </c>
      <c r="K5" t="str">
        <f>IF(AND($A5="Drink",$F5=1),SUMPRODUCT(($A$2:$A5="Drink")*($F$2:$F5=1)),"")</f>
        <v/>
      </c>
      <c r="L5">
        <f>IF($F5=1,SUMPRODUCT(($F$2:$F5=1)*1),"")</f>
        <v>4</v>
      </c>
    </row>
    <row r="6" spans="1:12">
      <c r="A6" t="s">
        <v>30</v>
      </c>
      <c r="B6" t="s">
        <v>87</v>
      </c>
      <c r="C6" t="s">
        <v>88</v>
      </c>
      <c r="D6">
        <v>0</v>
      </c>
      <c r="F6">
        <v>1</v>
      </c>
      <c r="G6" t="str">
        <f>IF(AND($A6="Starter",$F6=1),SUMPRODUCT(($A$2:$A6="Starter")*($F$2:$F6=1)),"")</f>
        <v/>
      </c>
      <c r="H6">
        <f>IF(AND($A6="Main",$F6=1),SUMPRODUCT(($A$2:$A6="Main")*($F$2:$F6=1)),"")</f>
        <v>1</v>
      </c>
      <c r="I6" t="str">
        <f>IF(AND($A6="Dessert",$F6=1),SUMPRODUCT(($A$2:$A6="Dessert")*($F$2:$F6=1)),"")</f>
        <v/>
      </c>
      <c r="J6" t="str">
        <f>IF(AND($A6="Side",$F6=1),SUMPRODUCT(($A$2:$A6="Side")*($F$2:$F6=1)),"")</f>
        <v/>
      </c>
      <c r="K6" t="str">
        <f>IF(AND($A6="Drink",$F6=1),SUMPRODUCT(($A$2:$A6="Drink")*($F$2:$F6=1)),"")</f>
        <v/>
      </c>
      <c r="L6">
        <f>IF($F6=1,SUMPRODUCT(($F$2:$F6=1)*1),"")</f>
        <v>5</v>
      </c>
    </row>
    <row r="7" spans="1:12">
      <c r="A7" t="s">
        <v>30</v>
      </c>
      <c r="B7" t="s">
        <v>89</v>
      </c>
      <c r="C7" t="s">
        <v>90</v>
      </c>
      <c r="D7">
        <v>0</v>
      </c>
      <c r="F7">
        <v>1</v>
      </c>
      <c r="G7" t="str">
        <f>IF(AND($A7="Starter",$F7=1),SUMPRODUCT(($A$2:$A7="Starter")*($F$2:$F7=1)),"")</f>
        <v/>
      </c>
      <c r="H7">
        <f>IF(AND($A7="Main",$F7=1),SUMPRODUCT(($A$2:$A7="Main")*($F$2:$F7=1)),"")</f>
        <v>2</v>
      </c>
      <c r="I7" t="str">
        <f>IF(AND($A7="Dessert",$F7=1),SUMPRODUCT(($A$2:$A7="Dessert")*($F$2:$F7=1)),"")</f>
        <v/>
      </c>
      <c r="J7" t="str">
        <f>IF(AND($A7="Side",$F7=1),SUMPRODUCT(($A$2:$A7="Side")*($F$2:$F7=1)),"")</f>
        <v/>
      </c>
      <c r="K7" t="str">
        <f>IF(AND($A7="Drink",$F7=1),SUMPRODUCT(($A$2:$A7="Drink")*($F$2:$F7=1)),"")</f>
        <v/>
      </c>
      <c r="L7">
        <f>IF($F7=1,SUMPRODUCT(($F$2:$F7=1)*1),"")</f>
        <v>6</v>
      </c>
    </row>
    <row r="8" spans="1:12">
      <c r="A8" t="s">
        <v>30</v>
      </c>
      <c r="B8" t="s">
        <v>91</v>
      </c>
      <c r="C8" t="s">
        <v>92</v>
      </c>
      <c r="D8">
        <v>0</v>
      </c>
      <c r="F8">
        <v>1</v>
      </c>
      <c r="G8" t="str">
        <f>IF(AND($A8="Starter",$F8=1),SUMPRODUCT(($A$2:$A8="Starter")*($F$2:$F8=1)),"")</f>
        <v/>
      </c>
      <c r="H8">
        <f>IF(AND($A8="Main",$F8=1),SUMPRODUCT(($A$2:$A8="Main")*($F$2:$F8=1)),"")</f>
        <v>3</v>
      </c>
      <c r="I8" t="str">
        <f>IF(AND($A8="Dessert",$F8=1),SUMPRODUCT(($A$2:$A8="Dessert")*($F$2:$F8=1)),"")</f>
        <v/>
      </c>
      <c r="J8" t="str">
        <f>IF(AND($A8="Side",$F8=1),SUMPRODUCT(($A$2:$A8="Side")*($F$2:$F8=1)),"")</f>
        <v/>
      </c>
      <c r="K8" t="str">
        <f>IF(AND($A8="Drink",$F8=1),SUMPRODUCT(($A$2:$A8="Drink")*($F$2:$F8=1)),"")</f>
        <v/>
      </c>
      <c r="L8">
        <f>IF($F8=1,SUMPRODUCT(($F$2:$F8=1)*1),"")</f>
        <v>7</v>
      </c>
    </row>
    <row r="9" spans="1:12">
      <c r="A9" t="s">
        <v>30</v>
      </c>
      <c r="B9" t="s">
        <v>97</v>
      </c>
      <c r="C9" t="s">
        <v>98</v>
      </c>
      <c r="D9">
        <v>0</v>
      </c>
      <c r="F9">
        <v>1</v>
      </c>
      <c r="G9" t="str">
        <f>IF(AND($A9="Starter",$F9=1),SUMPRODUCT(($A$2:$A9="Starter")*($F$2:$F9=1)),"")</f>
        <v/>
      </c>
      <c r="H9">
        <f>IF(AND($A9="Main",$F9=1),SUMPRODUCT(($A$2:$A9="Main")*($F$2:$F9=1)),"")</f>
        <v>4</v>
      </c>
      <c r="I9" t="str">
        <f>IF(AND($A9="Dessert",$F9=1),SUMPRODUCT(($A$2:$A9="Dessert")*($F$2:$F9=1)),"")</f>
        <v/>
      </c>
      <c r="J9" t="str">
        <f>IF(AND($A9="Side",$F9=1),SUMPRODUCT(($A$2:$A9="Side")*($F$2:$F9=1)),"")</f>
        <v/>
      </c>
      <c r="K9" t="str">
        <f>IF(AND($A9="Drink",$F9=1),SUMPRODUCT(($A$2:$A9="Drink")*($F$2:$F9=1)),"")</f>
        <v/>
      </c>
      <c r="L9">
        <f>IF($F9=1,SUMPRODUCT(($F$2:$F9=1)*1),"")</f>
        <v>8</v>
      </c>
    </row>
    <row r="10" spans="1:12">
      <c r="A10" t="s">
        <v>30</v>
      </c>
      <c r="B10" t="s">
        <v>93</v>
      </c>
      <c r="C10" t="s">
        <v>94</v>
      </c>
      <c r="D10">
        <v>0</v>
      </c>
      <c r="E10" t="s">
        <v>29</v>
      </c>
      <c r="F10">
        <v>1</v>
      </c>
      <c r="G10" t="str">
        <f>IF(AND($A10="Starter",$F10=1),SUMPRODUCT(($A$2:$A10="Starter")*($F$2:$F10=1)),"")</f>
        <v/>
      </c>
      <c r="H10">
        <f>IF(AND($A10="Main",$F10=1),SUMPRODUCT(($A$2:$A10="Main")*($F$2:$F10=1)),"")</f>
        <v>5</v>
      </c>
      <c r="I10" t="str">
        <f>IF(AND($A10="Dessert",$F10=1),SUMPRODUCT(($A$2:$A10="Dessert")*($F$2:$F10=1)),"")</f>
        <v/>
      </c>
      <c r="J10" t="str">
        <f>IF(AND($A10="Side",$F10=1),SUMPRODUCT(($A$2:$A10="Side")*($F$2:$F10=1)),"")</f>
        <v/>
      </c>
      <c r="K10" t="str">
        <f>IF(AND($A10="Drink",$F10=1),SUMPRODUCT(($A$2:$A10="Drink")*($F$2:$F10=1)),"")</f>
        <v/>
      </c>
      <c r="L10">
        <f>IF($F10=1,SUMPRODUCT(($F$2:$F10=1)*1),"")</f>
        <v>9</v>
      </c>
    </row>
    <row r="11" spans="1:12">
      <c r="A11" t="s">
        <v>31</v>
      </c>
      <c r="B11" t="s">
        <v>32</v>
      </c>
      <c r="D11">
        <v>0</v>
      </c>
      <c r="F11">
        <v>1</v>
      </c>
      <c r="G11" t="str">
        <f>IF(AND($A11="Starter",$F11=1),SUMPRODUCT(($A$2:$A11="Starter")*($F$2:$F11=1)),"")</f>
        <v/>
      </c>
      <c r="H11" t="str">
        <f>IF(AND($A11="Main",$F11=1),SUMPRODUCT(($A$2:$A11="Main")*($F$2:$F11=1)),"")</f>
        <v/>
      </c>
      <c r="I11">
        <f>IF(AND($A11="Dessert",$F11=1),SUMPRODUCT(($A$2:$A11="Dessert")*($F$2:$F11=1)),"")</f>
        <v>1</v>
      </c>
      <c r="J11" t="str">
        <f>IF(AND($A11="Side",$F11=1),SUMPRODUCT(($A$2:$A11="Side")*($F$2:$F11=1)),"")</f>
        <v/>
      </c>
      <c r="K11" t="str">
        <f>IF(AND($A11="Drink",$F11=1),SUMPRODUCT(($A$2:$A11="Drink")*($F$2:$F11=1)),"")</f>
        <v/>
      </c>
      <c r="L11">
        <f>IF($F11=1,SUMPRODUCT(($F$2:$F11=1)*1),"")</f>
        <v>10</v>
      </c>
    </row>
    <row r="12" spans="1:12">
      <c r="A12" t="s">
        <v>31</v>
      </c>
      <c r="B12" t="s">
        <v>33</v>
      </c>
      <c r="D12">
        <v>0</v>
      </c>
      <c r="F12">
        <v>1</v>
      </c>
      <c r="G12" t="str">
        <f>IF(AND($A12="Starter",$F12=1),SUMPRODUCT(($A$2:$A12="Starter")*($F$2:$F12=1)),"")</f>
        <v/>
      </c>
      <c r="H12" t="str">
        <f>IF(AND($A12="Main",$F12=1),SUMPRODUCT(($A$2:$A12="Main")*($F$2:$F12=1)),"")</f>
        <v/>
      </c>
      <c r="I12">
        <f>IF(AND($A12="Dessert",$F12=1),SUMPRODUCT(($A$2:$A12="Dessert")*($F$2:$F12=1)),"")</f>
        <v>2</v>
      </c>
      <c r="J12" t="str">
        <f>IF(AND($A12="Side",$F12=1),SUMPRODUCT(($A$2:$A12="Side")*($F$2:$F12=1)),"")</f>
        <v/>
      </c>
      <c r="K12" t="str">
        <f>IF(AND($A12="Drink",$F12=1),SUMPRODUCT(($A$2:$A12="Drink")*($F$2:$F12=1)),"")</f>
        <v/>
      </c>
      <c r="L12">
        <f>IF($F12=1,SUMPRODUCT(($F$2:$F12=1)*1),"")</f>
        <v>11</v>
      </c>
    </row>
    <row r="13" spans="1:12">
      <c r="A13" t="s">
        <v>31</v>
      </c>
      <c r="B13" t="s">
        <v>95</v>
      </c>
      <c r="C13" t="s">
        <v>96</v>
      </c>
      <c r="D13">
        <v>0</v>
      </c>
      <c r="F13">
        <v>1</v>
      </c>
      <c r="G13" t="str">
        <f>IF(AND($A13="Starter",$F13=1),SUMPRODUCT(($A$2:$A13="Starter")*($F$2:$F13=1)),"")</f>
        <v/>
      </c>
      <c r="H13" t="str">
        <f>IF(AND($A13="Main",$F13=1),SUMPRODUCT(($A$2:$A13="Main")*($F$2:$F13=1)),"")</f>
        <v/>
      </c>
      <c r="I13">
        <f>IF(AND($A13="Dessert",$F13=1),SUMPRODUCT(($A$2:$A13="Dessert")*($F$2:$F13=1)),"")</f>
        <v>3</v>
      </c>
      <c r="J13" t="str">
        <f>IF(AND($A13="Side",$F13=1),SUMPRODUCT(($A$2:$A13="Side")*($F$2:$F13=1)),"")</f>
        <v/>
      </c>
      <c r="K13" t="str">
        <f>IF(AND($A13="Drink",$F13=1),SUMPRODUCT(($A$2:$A13="Drink")*($F$2:$F13=1)),"")</f>
        <v/>
      </c>
      <c r="L13">
        <f>IF($F13=1,SUMPRODUCT(($F$2:$F13=1)*1),"")</f>
        <v>12</v>
      </c>
    </row>
    <row r="14" spans="1:12">
      <c r="A14" t="s">
        <v>105</v>
      </c>
      <c r="B14" t="s">
        <v>106</v>
      </c>
      <c r="D14">
        <v>7.5</v>
      </c>
      <c r="G14" t="str">
        <f>IF(AND($A14="Starter",$F14=1),SUMPRODUCT(($A$2:$A14="Starter")*($F$2:$F14=1)),"")</f>
        <v/>
      </c>
      <c r="H14" t="str">
        <f>IF(AND($A14="Main",$F14=1),SUMPRODUCT(($A$2:$A14="Main")*($F$2:$F14=1)),"")</f>
        <v/>
      </c>
      <c r="I14" t="str">
        <f>IF(AND($A14="Dessert",$F14=1),SUMPRODUCT(($A$2:$A14="Dessert")*($F$2:$F14=1)),"")</f>
        <v/>
      </c>
      <c r="J14" t="str">
        <f>IF(AND($A14="Side",$F14=1),SUMPRODUCT(($A$2:$A14="Side")*($F$2:$F14=1)),"")</f>
        <v/>
      </c>
      <c r="K14" t="str">
        <f>IF(AND($A14="Drink",$F14=1),SUMPRODUCT(($A$2:$A14="Drink")*($F$2:$F14=1)),"")</f>
        <v/>
      </c>
      <c r="L14" t="str">
        <f>IF($F14=1,SUMPRODUCT(($F$2:$F14=1)*1),"")</f>
        <v/>
      </c>
    </row>
    <row r="15" spans="1:12">
      <c r="A15" t="s">
        <v>105</v>
      </c>
      <c r="B15" t="s">
        <v>107</v>
      </c>
      <c r="D15">
        <v>9.5</v>
      </c>
      <c r="G15" t="str">
        <f>IF(AND($A15="Starter",$F15=1),SUMPRODUCT(($A$2:$A15="Starter")*($F$2:$F15=1)),"")</f>
        <v/>
      </c>
      <c r="H15" t="str">
        <f>IF(AND($A15="Main",$F15=1),SUMPRODUCT(($A$2:$A15="Main")*($F$2:$F15=1)),"")</f>
        <v/>
      </c>
      <c r="I15" t="str">
        <f>IF(AND($A15="Dessert",$F15=1),SUMPRODUCT(($A$2:$A15="Dessert")*($F$2:$F15=1)),"")</f>
        <v/>
      </c>
      <c r="J15" t="str">
        <f>IF(AND($A15="Side",$F15=1),SUMPRODUCT(($A$2:$A15="Side")*($F$2:$F15=1)),"")</f>
        <v/>
      </c>
      <c r="K15" t="str">
        <f>IF(AND($A15="Drink",$F15=1),SUMPRODUCT(($A$2:$A15="Drink")*($F$2:$F15=1)),"")</f>
        <v/>
      </c>
      <c r="L15" t="str">
        <f>IF($F15=1,SUMPRODUCT(($F$2:$F15=1)*1),"")</f>
        <v/>
      </c>
    </row>
    <row r="16" spans="1:12">
      <c r="A16" t="s">
        <v>105</v>
      </c>
      <c r="B16" t="s">
        <v>108</v>
      </c>
      <c r="D16">
        <v>19</v>
      </c>
      <c r="G16" t="str">
        <f>IF(AND($A16="Starter",$F16=1),SUMPRODUCT(($A$2:$A16="Starter")*($F$2:$F16=1)),"")</f>
        <v/>
      </c>
      <c r="H16" t="str">
        <f>IF(AND($A16="Main",$F16=1),SUMPRODUCT(($A$2:$A16="Main")*($F$2:$F16=1)),"")</f>
        <v/>
      </c>
      <c r="I16" t="str">
        <f>IF(AND($A16="Dessert",$F16=1),SUMPRODUCT(($A$2:$A16="Dessert")*($F$2:$F16=1)),"")</f>
        <v/>
      </c>
      <c r="J16" t="str">
        <f>IF(AND($A16="Side",$F16=1),SUMPRODUCT(($A$2:$A16="Side")*($F$2:$F16=1)),"")</f>
        <v/>
      </c>
      <c r="K16" t="str">
        <f>IF(AND($A16="Drink",$F16=1),SUMPRODUCT(($A$2:$A16="Drink")*($F$2:$F16=1)),"")</f>
        <v/>
      </c>
      <c r="L16" t="str">
        <f>IF($F16=1,SUMPRODUCT(($F$2:$F16=1)*1),"")</f>
        <v/>
      </c>
    </row>
    <row r="17" spans="1:12">
      <c r="A17" t="s">
        <v>105</v>
      </c>
      <c r="B17" t="s">
        <v>109</v>
      </c>
      <c r="D17">
        <v>32</v>
      </c>
      <c r="G17" t="str">
        <f>IF(AND($A17="Starter",$F17=1),SUMPRODUCT(($A$2:$A17="Starter")*($F$2:$F17=1)),"")</f>
        <v/>
      </c>
      <c r="H17" t="str">
        <f>IF(AND($A17="Main",$F17=1),SUMPRODUCT(($A$2:$A17="Main")*($F$2:$F17=1)),"")</f>
        <v/>
      </c>
      <c r="I17" t="str">
        <f>IF(AND($A17="Dessert",$F17=1),SUMPRODUCT(($A$2:$A17="Dessert")*($F$2:$F17=1)),"")</f>
        <v/>
      </c>
      <c r="J17" t="str">
        <f>IF(AND($A17="Side",$F17=1),SUMPRODUCT(($A$2:$A17="Side")*($F$2:$F17=1)),"")</f>
        <v/>
      </c>
      <c r="K17" t="str">
        <f>IF(AND($A17="Drink",$F17=1),SUMPRODUCT(($A$2:$A17="Drink")*($F$2:$F17=1)),"")</f>
        <v/>
      </c>
      <c r="L17" t="str">
        <f>IF($F17=1,SUMPRODUCT(($F$2:$F17=1)*1),"")</f>
        <v/>
      </c>
    </row>
    <row r="18" spans="1:12">
      <c r="G18" t="str">
        <f>IF(AND($A18="Starter",$F18=1),SUMPRODUCT(($A$2:$A18="Starter")*($F$2:$F18=1)),"")</f>
        <v/>
      </c>
      <c r="H18" t="str">
        <f>IF(AND($A18="Main",$F18=1),SUMPRODUCT(($A$2:$A18="Main")*($F$2:$F18=1)),"")</f>
        <v/>
      </c>
      <c r="I18" t="str">
        <f>IF(AND($A18="Dessert",$F18=1),SUMPRODUCT(($A$2:$A18="Dessert")*($F$2:$F18=1)),"")</f>
        <v/>
      </c>
      <c r="J18" t="str">
        <f>IF(AND($A18="Side",$F18=1),SUMPRODUCT(($A$2:$A18="Side")*($F$2:$F18=1)),"")</f>
        <v/>
      </c>
      <c r="K18" t="str">
        <f>IF(AND($A18="Drink",$F18=1),SUMPRODUCT(($A$2:$A18="Drink")*($F$2:$F18=1)),"")</f>
        <v/>
      </c>
      <c r="L18" t="str">
        <f>IF($F18=1,SUMPRODUCT(($F$2:$F18=1)*1),"")</f>
        <v/>
      </c>
    </row>
    <row r="19" spans="1:12">
      <c r="G19" t="str">
        <f>IF(AND($A19="Starter",$F19=1),SUMPRODUCT(($A$2:$A19="Starter")*($F$2:$F19=1)),"")</f>
        <v/>
      </c>
      <c r="H19" t="str">
        <f>IF(AND($A19="Main",$F19=1),SUMPRODUCT(($A$2:$A19="Main")*($F$2:$F19=1)),"")</f>
        <v/>
      </c>
      <c r="I19" t="str">
        <f>IF(AND($A19="Dessert",$F19=1),SUMPRODUCT(($A$2:$A19="Dessert")*($F$2:$F19=1)),"")</f>
        <v/>
      </c>
      <c r="J19" t="str">
        <f>IF(AND($A19="Side",$F19=1),SUMPRODUCT(($A$2:$A19="Side")*($F$2:$F19=1)),"")</f>
        <v/>
      </c>
      <c r="K19" t="str">
        <f>IF(AND($A19="Drink",$F19=1),SUMPRODUCT(($A$2:$A19="Drink")*($F$2:$F19=1)),"")</f>
        <v/>
      </c>
      <c r="L19" t="str">
        <f>IF($F19=1,SUMPRODUCT(($F$2:$F19=1)*1),"")</f>
        <v/>
      </c>
    </row>
    <row r="20" spans="1:12">
      <c r="G20" t="str">
        <f>IF(AND($A20="Starter",$F20=1),SUMPRODUCT(($A$2:$A20="Starter")*($F$2:$F20=1)),"")</f>
        <v/>
      </c>
      <c r="H20" t="str">
        <f>IF(AND($A20="Main",$F20=1),SUMPRODUCT(($A$2:$A20="Main")*($F$2:$F20=1)),"")</f>
        <v/>
      </c>
      <c r="I20" t="str">
        <f>IF(AND($A20="Dessert",$F20=1),SUMPRODUCT(($A$2:$A20="Dessert")*($F$2:$F20=1)),"")</f>
        <v/>
      </c>
      <c r="J20" t="str">
        <f>IF(AND($A20="Side",$F20=1),SUMPRODUCT(($A$2:$A20="Side")*($F$2:$F20=1)),"")</f>
        <v/>
      </c>
      <c r="K20" t="str">
        <f>IF(AND($A20="Drink",$F20=1),SUMPRODUCT(($A$2:$A20="Drink")*($F$2:$F20=1)),"")</f>
        <v/>
      </c>
      <c r="L20" t="str">
        <f>IF($F20=1,SUMPRODUCT(($F$2:$F20=1)*1),"")</f>
        <v/>
      </c>
    </row>
    <row r="21" spans="1:12">
      <c r="G21" t="str">
        <f>IF(AND($A21="Starter",$F21=1),SUMPRODUCT(($A$2:$A21="Starter")*($F$2:$F21=1)),"")</f>
        <v/>
      </c>
      <c r="H21" t="str">
        <f>IF(AND($A21="Main",$F21=1),SUMPRODUCT(($A$2:$A21="Main")*($F$2:$F21=1)),"")</f>
        <v/>
      </c>
      <c r="I21" t="str">
        <f>IF(AND($A21="Dessert",$F21=1),SUMPRODUCT(($A$2:$A21="Dessert")*($F$2:$F21=1)),"")</f>
        <v/>
      </c>
      <c r="J21" t="str">
        <f>IF(AND($A21="Side",$F21=1),SUMPRODUCT(($A$2:$A21="Side")*($F$2:$F21=1)),"")</f>
        <v/>
      </c>
      <c r="K21" t="str">
        <f>IF(AND($A21="Drink",$F21=1),SUMPRODUCT(($A$2:$A21="Drink")*($F$2:$F21=1)),"")</f>
        <v/>
      </c>
      <c r="L21" t="str">
        <f>IF($F21=1,SUMPRODUCT(($F$2:$F21=1)*1),"")</f>
        <v/>
      </c>
    </row>
    <row r="22" spans="1:12">
      <c r="G22" t="str">
        <f>IF(AND($A22="Starter",$F22=1),SUMPRODUCT(($A$2:$A22="Starter")*($F$2:$F22=1)),"")</f>
        <v/>
      </c>
      <c r="H22" t="str">
        <f>IF(AND($A22="Main",$F22=1),SUMPRODUCT(($A$2:$A22="Main")*($F$2:$F22=1)),"")</f>
        <v/>
      </c>
      <c r="I22" t="str">
        <f>IF(AND($A22="Dessert",$F22=1),SUMPRODUCT(($A$2:$A22="Dessert")*($F$2:$F22=1)),"")</f>
        <v/>
      </c>
      <c r="J22" t="str">
        <f>IF(AND($A22="Side",$F22=1),SUMPRODUCT(($A$2:$A22="Side")*($F$2:$F22=1)),"")</f>
        <v/>
      </c>
      <c r="K22" t="str">
        <f>IF(AND($A22="Drink",$F22=1),SUMPRODUCT(($A$2:$A22="Drink")*($F$2:$F22=1)),"")</f>
        <v/>
      </c>
      <c r="L22" t="str">
        <f>IF($F22=1,SUMPRODUCT(($F$2:$F22=1)*1),"")</f>
        <v/>
      </c>
    </row>
    <row r="23" spans="1:12">
      <c r="G23" t="str">
        <f>IF(AND($A23="Starter",$F23=1),SUMPRODUCT(($A$2:$A23="Starter")*($F$2:$F23=1)),"")</f>
        <v/>
      </c>
      <c r="H23" t="str">
        <f>IF(AND($A23="Main",$F23=1),SUMPRODUCT(($A$2:$A23="Main")*($F$2:$F23=1)),"")</f>
        <v/>
      </c>
      <c r="I23" t="str">
        <f>IF(AND($A23="Dessert",$F23=1),SUMPRODUCT(($A$2:$A23="Dessert")*($F$2:$F23=1)),"")</f>
        <v/>
      </c>
      <c r="J23" t="str">
        <f>IF(AND($A23="Side",$F23=1),SUMPRODUCT(($A$2:$A23="Side")*($F$2:$F23=1)),"")</f>
        <v/>
      </c>
      <c r="K23" t="str">
        <f>IF(AND($A23="Drink",$F23=1),SUMPRODUCT(($A$2:$A23="Drink")*($F$2:$F23=1)),"")</f>
        <v/>
      </c>
      <c r="L23" t="str">
        <f>IF($F23=1,SUMPRODUCT(($F$2:$F23=1)*1),"")</f>
        <v/>
      </c>
    </row>
    <row r="24" spans="1:12">
      <c r="G24" t="str">
        <f>IF(AND($A24="Starter",$F24=1),SUMPRODUCT(($A$2:$A24="Starter")*($F$2:$F24=1)),"")</f>
        <v/>
      </c>
      <c r="H24" t="str">
        <f>IF(AND($A24="Main",$F24=1),SUMPRODUCT(($A$2:$A24="Main")*($F$2:$F24=1)),"")</f>
        <v/>
      </c>
      <c r="I24" t="str">
        <f>IF(AND($A24="Dessert",$F24=1),SUMPRODUCT(($A$2:$A24="Dessert")*($F$2:$F24=1)),"")</f>
        <v/>
      </c>
      <c r="J24" t="str">
        <f>IF(AND($A24="Side",$F24=1),SUMPRODUCT(($A$2:$A24="Side")*($F$2:$F24=1)),"")</f>
        <v/>
      </c>
      <c r="K24" t="str">
        <f>IF(AND($A24="Drink",$F24=1),SUMPRODUCT(($A$2:$A24="Drink")*($F$2:$F24=1)),"")</f>
        <v/>
      </c>
      <c r="L24" t="str">
        <f>IF($F24=1,SUMPRODUCT(($F$2:$F24=1)*1),"")</f>
        <v/>
      </c>
    </row>
    <row r="25" spans="1:12">
      <c r="G25" t="str">
        <f>IF(AND($A25="Starter",$F25=1),SUMPRODUCT(($A$2:$A25="Starter")*($F$2:$F25=1)),"")</f>
        <v/>
      </c>
      <c r="H25" t="str">
        <f>IF(AND($A25="Main",$F25=1),SUMPRODUCT(($A$2:$A25="Main")*($F$2:$F25=1)),"")</f>
        <v/>
      </c>
      <c r="I25" t="str">
        <f>IF(AND($A25="Dessert",$F25=1),SUMPRODUCT(($A$2:$A25="Dessert")*($F$2:$F25=1)),"")</f>
        <v/>
      </c>
      <c r="J25" t="str">
        <f>IF(AND($A25="Side",$F25=1),SUMPRODUCT(($A$2:$A25="Side")*($F$2:$F25=1)),"")</f>
        <v/>
      </c>
      <c r="K25" t="str">
        <f>IF(AND($A25="Drink",$F25=1),SUMPRODUCT(($A$2:$A25="Drink")*($F$2:$F25=1)),"")</f>
        <v/>
      </c>
      <c r="L25" t="str">
        <f>IF($F25=1,SUMPRODUCT(($F$2:$F25=1)*1),"")</f>
        <v/>
      </c>
    </row>
    <row r="26" spans="1:12">
      <c r="G26" t="str">
        <f>IF(AND($A26="Starter",$F26=1),SUMPRODUCT(($A$2:$A26="Starter")*($F$2:$F26=1)),"")</f>
        <v/>
      </c>
      <c r="H26" t="str">
        <f>IF(AND($A26="Main",$F26=1),SUMPRODUCT(($A$2:$A26="Main")*($F$2:$F26=1)),"")</f>
        <v/>
      </c>
      <c r="I26" t="str">
        <f>IF(AND($A26="Dessert",$F26=1),SUMPRODUCT(($A$2:$A26="Dessert")*($F$2:$F26=1)),"")</f>
        <v/>
      </c>
      <c r="J26" t="str">
        <f>IF(AND($A26="Side",$F26=1),SUMPRODUCT(($A$2:$A26="Side")*($F$2:$F26=1)),"")</f>
        <v/>
      </c>
      <c r="K26" t="str">
        <f>IF(AND($A26="Drink",$F26=1),SUMPRODUCT(($A$2:$A26="Drink")*($F$2:$F26=1)),"")</f>
        <v/>
      </c>
      <c r="L26" t="str">
        <f>IF($F26=1,SUMPRODUCT(($F$2:$F26=1)*1),"")</f>
        <v/>
      </c>
    </row>
    <row r="27" spans="1:12">
      <c r="G27" t="str">
        <f>IF(AND($A27="Starter",$F27=1),SUMPRODUCT(($A$2:$A27="Starter")*($F$2:$F27=1)),"")</f>
        <v/>
      </c>
      <c r="H27" t="str">
        <f>IF(AND($A27="Main",$F27=1),SUMPRODUCT(($A$2:$A27="Main")*($F$2:$F27=1)),"")</f>
        <v/>
      </c>
      <c r="I27" t="str">
        <f>IF(AND($A27="Dessert",$F27=1),SUMPRODUCT(($A$2:$A27="Dessert")*($F$2:$F27=1)),"")</f>
        <v/>
      </c>
      <c r="J27" t="str">
        <f>IF(AND($A27="Side",$F27=1),SUMPRODUCT(($A$2:$A27="Side")*($F$2:$F27=1)),"")</f>
        <v/>
      </c>
      <c r="K27" t="str">
        <f>IF(AND($A27="Drink",$F27=1),SUMPRODUCT(($A$2:$A27="Drink")*($F$2:$F27=1)),"")</f>
        <v/>
      </c>
      <c r="L27" t="str">
        <f>IF($F27=1,SUMPRODUCT(($F$2:$F27=1)*1),"")</f>
        <v/>
      </c>
    </row>
    <row r="28" spans="1:12">
      <c r="G28" t="str">
        <f>IF(AND($A28="Starter",$F28=1),SUMPRODUCT(($A$2:$A28="Starter")*($F$2:$F28=1)),"")</f>
        <v/>
      </c>
      <c r="H28" t="str">
        <f>IF(AND($A28="Main",$F28=1),SUMPRODUCT(($A$2:$A28="Main")*($F$2:$F28=1)),"")</f>
        <v/>
      </c>
      <c r="I28" t="str">
        <f>IF(AND($A28="Dessert",$F28=1),SUMPRODUCT(($A$2:$A28="Dessert")*($F$2:$F28=1)),"")</f>
        <v/>
      </c>
      <c r="J28" t="str">
        <f>IF(AND($A28="Side",$F28=1),SUMPRODUCT(($A$2:$A28="Side")*($F$2:$F28=1)),"")</f>
        <v/>
      </c>
      <c r="K28" t="str">
        <f>IF(AND($A28="Drink",$F28=1),SUMPRODUCT(($A$2:$A28="Drink")*($F$2:$F28=1)),"")</f>
        <v/>
      </c>
      <c r="L28" t="str">
        <f>IF($F28=1,SUMPRODUCT(($F$2:$F28=1)*1),"")</f>
        <v/>
      </c>
    </row>
    <row r="29" spans="1:12">
      <c r="G29" t="str">
        <f>IF(AND($A29="Starter",$F29=1),SUMPRODUCT(($A$2:$A29="Starter")*($F$2:$F29=1)),"")</f>
        <v/>
      </c>
      <c r="H29" t="str">
        <f>IF(AND($A29="Main",$F29=1),SUMPRODUCT(($A$2:$A29="Main")*($F$2:$F29=1)),"")</f>
        <v/>
      </c>
      <c r="I29" t="str">
        <f>IF(AND($A29="Dessert",$F29=1),SUMPRODUCT(($A$2:$A29="Dessert")*($F$2:$F29=1)),"")</f>
        <v/>
      </c>
      <c r="J29" t="str">
        <f>IF(AND($A29="Side",$F29=1),SUMPRODUCT(($A$2:$A29="Side")*($F$2:$F29=1)),"")</f>
        <v/>
      </c>
      <c r="K29" t="str">
        <f>IF(AND($A29="Drink",$F29=1),SUMPRODUCT(($A$2:$A29="Drink")*($F$2:$F29=1)),"")</f>
        <v/>
      </c>
      <c r="L29" t="str">
        <f>IF($F29=1,SUMPRODUCT(($F$2:$F29=1)*1),"")</f>
        <v/>
      </c>
    </row>
    <row r="30" spans="1:12">
      <c r="G30" t="str">
        <f>IF(AND($A30="Starter",$F30=1),SUMPRODUCT(($A$2:$A30="Starter")*($F$2:$F30=1)),"")</f>
        <v/>
      </c>
      <c r="H30" t="str">
        <f>IF(AND($A30="Main",$F30=1),SUMPRODUCT(($A$2:$A30="Main")*($F$2:$F30=1)),"")</f>
        <v/>
      </c>
      <c r="I30" t="str">
        <f>IF(AND($A30="Dessert",$F30=1),SUMPRODUCT(($A$2:$A30="Dessert")*($F$2:$F30=1)),"")</f>
        <v/>
      </c>
      <c r="J30" t="str">
        <f>IF(AND($A30="Side",$F30=1),SUMPRODUCT(($A$2:$A30="Side")*($F$2:$F30=1)),"")</f>
        <v/>
      </c>
      <c r="K30" t="str">
        <f>IF(AND($A30="Drink",$F30=1),SUMPRODUCT(($A$2:$A30="Drink")*($F$2:$F30=1)),"")</f>
        <v/>
      </c>
      <c r="L30" t="str">
        <f>IF($F30=1,SUMPRODUCT(($F$2:$F30=1)*1),"")</f>
        <v/>
      </c>
    </row>
    <row r="31" spans="1:12">
      <c r="G31" t="str">
        <f>IF(AND($A31="Starter",$F31=1),SUMPRODUCT(($A$2:$A31="Starter")*($F$2:$F31=1)),"")</f>
        <v/>
      </c>
      <c r="H31" t="str">
        <f>IF(AND($A31="Main",$F31=1),SUMPRODUCT(($A$2:$A31="Main")*($F$2:$F31=1)),"")</f>
        <v/>
      </c>
      <c r="I31" t="str">
        <f>IF(AND($A31="Dessert",$F31=1),SUMPRODUCT(($A$2:$A31="Dessert")*($F$2:$F31=1)),"")</f>
        <v/>
      </c>
      <c r="J31" t="str">
        <f>IF(AND($A31="Side",$F31=1),SUMPRODUCT(($A$2:$A31="Side")*($F$2:$F31=1)),"")</f>
        <v/>
      </c>
      <c r="K31" t="str">
        <f>IF(AND($A31="Drink",$F31=1),SUMPRODUCT(($A$2:$A31="Drink")*($F$2:$F31=1)),"")</f>
        <v/>
      </c>
      <c r="L31" t="str">
        <f>IF($F31=1,SUMPRODUCT(($F$2:$F31=1)*1),"")</f>
        <v/>
      </c>
    </row>
    <row r="32" spans="1:12">
      <c r="G32" t="str">
        <f>IF(AND($A32="Starter",$F32=1),SUMPRODUCT(($A$2:$A32="Starter")*($F$2:$F32=1)),"")</f>
        <v/>
      </c>
      <c r="H32" t="str">
        <f>IF(AND($A32="Main",$F32=1),SUMPRODUCT(($A$2:$A32="Main")*($F$2:$F32=1)),"")</f>
        <v/>
      </c>
      <c r="I32" t="str">
        <f>IF(AND($A32="Dessert",$F32=1),SUMPRODUCT(($A$2:$A32="Dessert")*($F$2:$F32=1)),"")</f>
        <v/>
      </c>
      <c r="J32" t="str">
        <f>IF(AND($A32="Side",$F32=1),SUMPRODUCT(($A$2:$A32="Side")*($F$2:$F32=1)),"")</f>
        <v/>
      </c>
      <c r="K32" t="str">
        <f>IF(AND($A32="Drink",$F32=1),SUMPRODUCT(($A$2:$A32="Drink")*($F$2:$F32=1)),"")</f>
        <v/>
      </c>
      <c r="L32" t="str">
        <f>IF($F32=1,SUMPRODUCT(($F$2:$F32=1)*1),"")</f>
        <v/>
      </c>
    </row>
    <row r="33" spans="7:12">
      <c r="G33" t="str">
        <f>IF(AND($A33="Starter",$F33=1),SUMPRODUCT(($A$2:$A33="Starter")*($F$2:$F33=1)),"")</f>
        <v/>
      </c>
      <c r="H33" t="str">
        <f>IF(AND($A33="Main",$F33=1),SUMPRODUCT(($A$2:$A33="Main")*($F$2:$F33=1)),"")</f>
        <v/>
      </c>
      <c r="I33" t="str">
        <f>IF(AND($A33="Dessert",$F33=1),SUMPRODUCT(($A$2:$A33="Dessert")*($F$2:$F33=1)),"")</f>
        <v/>
      </c>
      <c r="J33" t="str">
        <f>IF(AND($A33="Side",$F33=1),SUMPRODUCT(($A$2:$A33="Side")*($F$2:$F33=1)),"")</f>
        <v/>
      </c>
      <c r="K33" t="str">
        <f>IF(AND($A33="Drink",$F33=1),SUMPRODUCT(($A$2:$A33="Drink")*($F$2:$F33=1)),"")</f>
        <v/>
      </c>
      <c r="L33" t="str">
        <f>IF($F33=1,SUMPRODUCT(($F$2:$F33=1)*1),"")</f>
        <v/>
      </c>
    </row>
    <row r="34" spans="7:12">
      <c r="G34" t="str">
        <f>IF(AND($A34="Starter",$F34=1),SUMPRODUCT(($A$2:$A34="Starter")*($F$2:$F34=1)),"")</f>
        <v/>
      </c>
      <c r="H34" t="str">
        <f>IF(AND($A34="Main",$F34=1),SUMPRODUCT(($A$2:$A34="Main")*($F$2:$F34=1)),"")</f>
        <v/>
      </c>
      <c r="I34" t="str">
        <f>IF(AND($A34="Dessert",$F34=1),SUMPRODUCT(($A$2:$A34="Dessert")*($F$2:$F34=1)),"")</f>
        <v/>
      </c>
      <c r="J34" t="str">
        <f>IF(AND($A34="Side",$F34=1),SUMPRODUCT(($A$2:$A34="Side")*($F$2:$F34=1)),"")</f>
        <v/>
      </c>
      <c r="K34" t="str">
        <f>IF(AND($A34="Drink",$F34=1),SUMPRODUCT(($A$2:$A34="Drink")*($F$2:$F34=1)),"")</f>
        <v/>
      </c>
      <c r="L34" t="str">
        <f>IF($F34=1,SUMPRODUCT(($F$2:$F34=1)*1),"")</f>
        <v/>
      </c>
    </row>
    <row r="35" spans="7:12">
      <c r="G35" t="str">
        <f>IF(AND($A35="Starter",$F35=1),SUMPRODUCT(($A$2:$A35="Starter")*($F$2:$F35=1)),"")</f>
        <v/>
      </c>
      <c r="H35" t="str">
        <f>IF(AND($A35="Main",$F35=1),SUMPRODUCT(($A$2:$A35="Main")*($F$2:$F35=1)),"")</f>
        <v/>
      </c>
      <c r="I35" t="str">
        <f>IF(AND($A35="Dessert",$F35=1),SUMPRODUCT(($A$2:$A35="Dessert")*($F$2:$F35=1)),"")</f>
        <v/>
      </c>
      <c r="J35" t="str">
        <f>IF(AND($A35="Side",$F35=1),SUMPRODUCT(($A$2:$A35="Side")*($F$2:$F35=1)),"")</f>
        <v/>
      </c>
      <c r="K35" t="str">
        <f>IF(AND($A35="Drink",$F35=1),SUMPRODUCT(($A$2:$A35="Drink")*($F$2:$F35=1)),"")</f>
        <v/>
      </c>
      <c r="L35" t="str">
        <f>IF($F35=1,SUMPRODUCT(($F$2:$F35=1)*1),"")</f>
        <v/>
      </c>
    </row>
    <row r="36" spans="7:12">
      <c r="G36" t="str">
        <f>IF(AND($A36="Starter",$F36=1),SUMPRODUCT(($A$2:$A36="Starter")*($F$2:$F36=1)),"")</f>
        <v/>
      </c>
      <c r="H36" t="str">
        <f>IF(AND($A36="Main",$F36=1),SUMPRODUCT(($A$2:$A36="Main")*($F$2:$F36=1)),"")</f>
        <v/>
      </c>
      <c r="I36" t="str">
        <f>IF(AND($A36="Dessert",$F36=1),SUMPRODUCT(($A$2:$A36="Dessert")*($F$2:$F36=1)),"")</f>
        <v/>
      </c>
      <c r="J36" t="str">
        <f>IF(AND($A36="Side",$F36=1),SUMPRODUCT(($A$2:$A36="Side")*($F$2:$F36=1)),"")</f>
        <v/>
      </c>
      <c r="K36" t="str">
        <f>IF(AND($A36="Drink",$F36=1),SUMPRODUCT(($A$2:$A36="Drink")*($F$2:$F36=1)),"")</f>
        <v/>
      </c>
      <c r="L36" t="str">
        <f>IF($F36=1,SUMPRODUCT(($F$2:$F36=1)*1),"")</f>
        <v/>
      </c>
    </row>
    <row r="37" spans="7:12">
      <c r="G37" t="str">
        <f>IF(AND($A37="Starter",$F37=1),SUMPRODUCT(($A$2:$A37="Starter")*($F$2:$F37=1)),"")</f>
        <v/>
      </c>
      <c r="H37" t="str">
        <f>IF(AND($A37="Main",$F37=1),SUMPRODUCT(($A$2:$A37="Main")*($F$2:$F37=1)),"")</f>
        <v/>
      </c>
      <c r="I37" t="str">
        <f>IF(AND($A37="Dessert",$F37=1),SUMPRODUCT(($A$2:$A37="Dessert")*($F$2:$F37=1)),"")</f>
        <v/>
      </c>
      <c r="J37" t="str">
        <f>IF(AND($A37="Side",$F37=1),SUMPRODUCT(($A$2:$A37="Side")*($F$2:$F37=1)),"")</f>
        <v/>
      </c>
      <c r="K37" t="str">
        <f>IF(AND($A37="Drink",$F37=1),SUMPRODUCT(($A$2:$A37="Drink")*($F$2:$F37=1)),"")</f>
        <v/>
      </c>
      <c r="L37" t="str">
        <f>IF($F37=1,SUMPRODUCT(($F$2:$F37=1)*1),"")</f>
        <v/>
      </c>
    </row>
    <row r="38" spans="7:12">
      <c r="G38" t="str">
        <f>IF(AND($A38="Starter",$F38=1),SUMPRODUCT(($A$2:$A38="Starter")*($F$2:$F38=1)),"")</f>
        <v/>
      </c>
      <c r="H38" t="str">
        <f>IF(AND($A38="Main",$F38=1),SUMPRODUCT(($A$2:$A38="Main")*($F$2:$F38=1)),"")</f>
        <v/>
      </c>
      <c r="I38" t="str">
        <f>IF(AND($A38="Dessert",$F38=1),SUMPRODUCT(($A$2:$A38="Dessert")*($F$2:$F38=1)),"")</f>
        <v/>
      </c>
      <c r="J38" t="str">
        <f>IF(AND($A38="Side",$F38=1),SUMPRODUCT(($A$2:$A38="Side")*($F$2:$F38=1)),"")</f>
        <v/>
      </c>
      <c r="K38" t="str">
        <f>IF(AND($A38="Drink",$F38=1),SUMPRODUCT(($A$2:$A38="Drink")*($F$2:$F38=1)),"")</f>
        <v/>
      </c>
      <c r="L38" t="str">
        <f>IF($F38=1,SUMPRODUCT(($F$2:$F38=1)*1),"")</f>
        <v/>
      </c>
    </row>
    <row r="39" spans="7:12">
      <c r="G39" t="str">
        <f>IF(AND($A39="Starter",$F39=1),SUMPRODUCT(($A$2:$A39="Starter")*($F$2:$F39=1)),"")</f>
        <v/>
      </c>
      <c r="H39" t="str">
        <f>IF(AND($A39="Main",$F39=1),SUMPRODUCT(($A$2:$A39="Main")*($F$2:$F39=1)),"")</f>
        <v/>
      </c>
      <c r="I39" t="str">
        <f>IF(AND($A39="Dessert",$F39=1),SUMPRODUCT(($A$2:$A39="Dessert")*($F$2:$F39=1)),"")</f>
        <v/>
      </c>
      <c r="J39" t="str">
        <f>IF(AND($A39="Side",$F39=1),SUMPRODUCT(($A$2:$A39="Side")*($F$2:$F39=1)),"")</f>
        <v/>
      </c>
      <c r="K39" t="str">
        <f>IF(AND($A39="Drink",$F39=1),SUMPRODUCT(($A$2:$A39="Drink")*($F$2:$F39=1)),"")</f>
        <v/>
      </c>
      <c r="L39" t="str">
        <f>IF($F39=1,SUMPRODUCT(($F$2:$F39=1)*1),"")</f>
        <v/>
      </c>
    </row>
    <row r="40" spans="7:12">
      <c r="G40" t="str">
        <f>IF(AND($A40="Starter",$F40=1),SUMPRODUCT(($A$2:$A40="Starter")*($F$2:$F40=1)),"")</f>
        <v/>
      </c>
      <c r="H40" t="str">
        <f>IF(AND($A40="Main",$F40=1),SUMPRODUCT(($A$2:$A40="Main")*($F$2:$F40=1)),"")</f>
        <v/>
      </c>
      <c r="I40" t="str">
        <f>IF(AND($A40="Dessert",$F40=1),SUMPRODUCT(($A$2:$A40="Dessert")*($F$2:$F40=1)),"")</f>
        <v/>
      </c>
      <c r="J40" t="str">
        <f>IF(AND($A40="Side",$F40=1),SUMPRODUCT(($A$2:$A40="Side")*($F$2:$F40=1)),"")</f>
        <v/>
      </c>
      <c r="K40" t="str">
        <f>IF(AND($A40="Drink",$F40=1),SUMPRODUCT(($A$2:$A40="Drink")*($F$2:$F40=1)),"")</f>
        <v/>
      </c>
      <c r="L40" t="str">
        <f>IF($F40=1,SUMPRODUCT(($F$2:$F40=1)*1),"")</f>
        <v/>
      </c>
    </row>
    <row r="41" spans="7:12">
      <c r="G41" t="str">
        <f>IF(AND($A41="Starter",$F41=1),SUMPRODUCT(($A$2:$A41="Starter")*($F$2:$F41=1)),"")</f>
        <v/>
      </c>
      <c r="H41" t="str">
        <f>IF(AND($A41="Main",$F41=1),SUMPRODUCT(($A$2:$A41="Main")*($F$2:$F41=1)),"")</f>
        <v/>
      </c>
      <c r="I41" t="str">
        <f>IF(AND($A41="Dessert",$F41=1),SUMPRODUCT(($A$2:$A41="Dessert")*($F$2:$F41=1)),"")</f>
        <v/>
      </c>
      <c r="J41" t="str">
        <f>IF(AND($A41="Side",$F41=1),SUMPRODUCT(($A$2:$A41="Side")*($F$2:$F41=1)),"")</f>
        <v/>
      </c>
      <c r="K41" t="str">
        <f>IF(AND($A41="Drink",$F41=1),SUMPRODUCT(($A$2:$A41="Drink")*($F$2:$F41=1)),"")</f>
        <v/>
      </c>
      <c r="L41" t="str">
        <f>IF($F41=1,SUMPRODUCT(($F$2:$F41=1)*1),"")</f>
        <v/>
      </c>
    </row>
    <row r="42" spans="7:12">
      <c r="G42" t="str">
        <f>IF(AND($A42="Starter",$F42=1),SUMPRODUCT(($A$2:$A42="Starter")*($F$2:$F42=1)),"")</f>
        <v/>
      </c>
      <c r="H42" t="str">
        <f>IF(AND($A42="Main",$F42=1),SUMPRODUCT(($A$2:$A42="Main")*($F$2:$F42=1)),"")</f>
        <v/>
      </c>
      <c r="I42" t="str">
        <f>IF(AND($A42="Dessert",$F42=1),SUMPRODUCT(($A$2:$A42="Dessert")*($F$2:$F42=1)),"")</f>
        <v/>
      </c>
      <c r="J42" t="str">
        <f>IF(AND($A42="Side",$F42=1),SUMPRODUCT(($A$2:$A42="Side")*($F$2:$F42=1)),"")</f>
        <v/>
      </c>
      <c r="K42" t="str">
        <f>IF(AND($A42="Drink",$F42=1),SUMPRODUCT(($A$2:$A42="Drink")*($F$2:$F42=1)),"")</f>
        <v/>
      </c>
      <c r="L42" t="str">
        <f>IF($F42=1,SUMPRODUCT(($F$2:$F42=1)*1),"")</f>
        <v/>
      </c>
    </row>
    <row r="43" spans="7:12">
      <c r="G43" t="str">
        <f>IF(AND($A43="Starter",$F43=1),SUMPRODUCT(($A$2:$A43="Starter")*($F$2:$F43=1)),"")</f>
        <v/>
      </c>
      <c r="H43" t="str">
        <f>IF(AND($A43="Main",$F43=1),SUMPRODUCT(($A$2:$A43="Main")*($F$2:$F43=1)),"")</f>
        <v/>
      </c>
      <c r="I43" t="str">
        <f>IF(AND($A43="Dessert",$F43=1),SUMPRODUCT(($A$2:$A43="Dessert")*($F$2:$F43=1)),"")</f>
        <v/>
      </c>
      <c r="J43" t="str">
        <f>IF(AND($A43="Side",$F43=1),SUMPRODUCT(($A$2:$A43="Side")*($F$2:$F43=1)),"")</f>
        <v/>
      </c>
      <c r="K43" t="str">
        <f>IF(AND($A43="Drink",$F43=1),SUMPRODUCT(($A$2:$A43="Drink")*($F$2:$F43=1)),"")</f>
        <v/>
      </c>
      <c r="L43" t="str">
        <f>IF($F43=1,SUMPRODUCT(($F$2:$F43=1)*1),"")</f>
        <v/>
      </c>
    </row>
    <row r="44" spans="7:12">
      <c r="G44" t="str">
        <f>IF(AND($A44="Starter",$F44=1),SUMPRODUCT(($A$2:$A44="Starter")*($F$2:$F44=1)),"")</f>
        <v/>
      </c>
      <c r="H44" t="str">
        <f>IF(AND($A44="Main",$F44=1),SUMPRODUCT(($A$2:$A44="Main")*($F$2:$F44=1)),"")</f>
        <v/>
      </c>
      <c r="I44" t="str">
        <f>IF(AND($A44="Dessert",$F44=1),SUMPRODUCT(($A$2:$A44="Dessert")*($F$2:$F44=1)),"")</f>
        <v/>
      </c>
      <c r="J44" t="str">
        <f>IF(AND($A44="Side",$F44=1),SUMPRODUCT(($A$2:$A44="Side")*($F$2:$F44=1)),"")</f>
        <v/>
      </c>
      <c r="K44" t="str">
        <f>IF(AND($A44="Drink",$F44=1),SUMPRODUCT(($A$2:$A44="Drink")*($F$2:$F44=1)),"")</f>
        <v/>
      </c>
      <c r="L44" t="str">
        <f>IF($F44=1,SUMPRODUCT(($F$2:$F44=1)*1),"")</f>
        <v/>
      </c>
    </row>
    <row r="45" spans="7:12">
      <c r="G45" t="str">
        <f>IF(AND($A45="Starter",$F45=1),SUMPRODUCT(($A$2:$A45="Starter")*($F$2:$F45=1)),"")</f>
        <v/>
      </c>
      <c r="H45" t="str">
        <f>IF(AND($A45="Main",$F45=1),SUMPRODUCT(($A$2:$A45="Main")*($F$2:$F45=1)),"")</f>
        <v/>
      </c>
      <c r="I45" t="str">
        <f>IF(AND($A45="Dessert",$F45=1),SUMPRODUCT(($A$2:$A45="Dessert")*($F$2:$F45=1)),"")</f>
        <v/>
      </c>
      <c r="J45" t="str">
        <f>IF(AND($A45="Side",$F45=1),SUMPRODUCT(($A$2:$A45="Side")*($F$2:$F45=1)),"")</f>
        <v/>
      </c>
      <c r="K45" t="str">
        <f>IF(AND($A45="Drink",$F45=1),SUMPRODUCT(($A$2:$A45="Drink")*($F$2:$F45=1)),"")</f>
        <v/>
      </c>
      <c r="L45" t="str">
        <f>IF($F45=1,SUMPRODUCT(($F$2:$F45=1)*1),"")</f>
        <v/>
      </c>
    </row>
    <row r="46" spans="7:12">
      <c r="G46" t="str">
        <f>IF(AND($A46="Starter",$F46=1),SUMPRODUCT(($A$2:$A46="Starter")*($F$2:$F46=1)),"")</f>
        <v/>
      </c>
      <c r="H46" t="str">
        <f>IF(AND($A46="Main",$F46=1),SUMPRODUCT(($A$2:$A46="Main")*($F$2:$F46=1)),"")</f>
        <v/>
      </c>
      <c r="I46" t="str">
        <f>IF(AND($A46="Dessert",$F46=1),SUMPRODUCT(($A$2:$A46="Dessert")*($F$2:$F46=1)),"")</f>
        <v/>
      </c>
      <c r="J46" t="str">
        <f>IF(AND($A46="Side",$F46=1),SUMPRODUCT(($A$2:$A46="Side")*($F$2:$F46=1)),"")</f>
        <v/>
      </c>
      <c r="K46" t="str">
        <f>IF(AND($A46="Drink",$F46=1),SUMPRODUCT(($A$2:$A46="Drink")*($F$2:$F46=1)),"")</f>
        <v/>
      </c>
      <c r="L46" t="str">
        <f>IF($F46=1,SUMPRODUCT(($F$2:$F46=1)*1),"")</f>
        <v/>
      </c>
    </row>
    <row r="47" spans="7:12">
      <c r="G47" t="str">
        <f>IF(AND($A47="Starter",$F47=1),SUMPRODUCT(($A$2:$A47="Starter")*($F$2:$F47=1)),"")</f>
        <v/>
      </c>
      <c r="H47" t="str">
        <f>IF(AND($A47="Main",$F47=1),SUMPRODUCT(($A$2:$A47="Main")*($F$2:$F47=1)),"")</f>
        <v/>
      </c>
      <c r="I47" t="str">
        <f>IF(AND($A47="Dessert",$F47=1),SUMPRODUCT(($A$2:$A47="Dessert")*($F$2:$F47=1)),"")</f>
        <v/>
      </c>
      <c r="J47" t="str">
        <f>IF(AND($A47="Side",$F47=1),SUMPRODUCT(($A$2:$A47="Side")*($F$2:$F47=1)),"")</f>
        <v/>
      </c>
      <c r="K47" t="str">
        <f>IF(AND($A47="Drink",$F47=1),SUMPRODUCT(($A$2:$A47="Drink")*($F$2:$F47=1)),"")</f>
        <v/>
      </c>
      <c r="L47" t="str">
        <f>IF($F47=1,SUMPRODUCT(($F$2:$F47=1)*1),"")</f>
        <v/>
      </c>
    </row>
    <row r="48" spans="7:12">
      <c r="G48" t="str">
        <f>IF(AND($A48="Starter",$F48=1),SUMPRODUCT(($A$2:$A48="Starter")*($F$2:$F48=1)),"")</f>
        <v/>
      </c>
      <c r="H48" t="str">
        <f>IF(AND($A48="Main",$F48=1),SUMPRODUCT(($A$2:$A48="Main")*($F$2:$F48=1)),"")</f>
        <v/>
      </c>
      <c r="I48" t="str">
        <f>IF(AND($A48="Dessert",$F48=1),SUMPRODUCT(($A$2:$A48="Dessert")*($F$2:$F48=1)),"")</f>
        <v/>
      </c>
      <c r="J48" t="str">
        <f>IF(AND($A48="Side",$F48=1),SUMPRODUCT(($A$2:$A48="Side")*($F$2:$F48=1)),"")</f>
        <v/>
      </c>
      <c r="K48" t="str">
        <f>IF(AND($A48="Drink",$F48=1),SUMPRODUCT(($A$2:$A48="Drink")*($F$2:$F48=1)),"")</f>
        <v/>
      </c>
      <c r="L48" t="str">
        <f>IF($F48=1,SUMPRODUCT(($F$2:$F48=1)*1),"")</f>
        <v/>
      </c>
    </row>
    <row r="49" spans="7:12">
      <c r="G49" t="str">
        <f>IF(AND($A49="Starter",$F49=1),SUMPRODUCT(($A$2:$A49="Starter")*($F$2:$F49=1)),"")</f>
        <v/>
      </c>
      <c r="H49" t="str">
        <f>IF(AND($A49="Main",$F49=1),SUMPRODUCT(($A$2:$A49="Main")*($F$2:$F49=1)),"")</f>
        <v/>
      </c>
      <c r="I49" t="str">
        <f>IF(AND($A49="Dessert",$F49=1),SUMPRODUCT(($A$2:$A49="Dessert")*($F$2:$F49=1)),"")</f>
        <v/>
      </c>
      <c r="J49" t="str">
        <f>IF(AND($A49="Side",$F49=1),SUMPRODUCT(($A$2:$A49="Side")*($F$2:$F49=1)),"")</f>
        <v/>
      </c>
      <c r="K49" t="str">
        <f>IF(AND($A49="Drink",$F49=1),SUMPRODUCT(($A$2:$A49="Drink")*($F$2:$F49=1)),"")</f>
        <v/>
      </c>
      <c r="L49" t="str">
        <f>IF($F49=1,SUMPRODUCT(($F$2:$F49=1)*1),"")</f>
        <v/>
      </c>
    </row>
    <row r="50" spans="7:12">
      <c r="G50" t="str">
        <f>IF(AND($A50="Starter",$F50=1),SUMPRODUCT(($A$2:$A50="Starter")*($F$2:$F50=1)),"")</f>
        <v/>
      </c>
      <c r="H50" t="str">
        <f>IF(AND($A50="Main",$F50=1),SUMPRODUCT(($A$2:$A50="Main")*($F$2:$F50=1)),"")</f>
        <v/>
      </c>
      <c r="I50" t="str">
        <f>IF(AND($A50="Dessert",$F50=1),SUMPRODUCT(($A$2:$A50="Dessert")*($F$2:$F50=1)),"")</f>
        <v/>
      </c>
      <c r="J50" t="str">
        <f>IF(AND($A50="Side",$F50=1),SUMPRODUCT(($A$2:$A50="Side")*($F$2:$F50=1)),"")</f>
        <v/>
      </c>
      <c r="K50" t="str">
        <f>IF(AND($A50="Drink",$F50=1),SUMPRODUCT(($A$2:$A50="Drink")*($F$2:$F50=1)),"")</f>
        <v/>
      </c>
      <c r="L50" t="str">
        <f>IF($F50=1,SUMPRODUCT(($F$2:$F50=1)*1),"")</f>
        <v/>
      </c>
    </row>
    <row r="51" spans="7:12">
      <c r="G51" t="str">
        <f>IF(AND($A51="Starter",$F51=1),SUMPRODUCT(($A$2:$A51="Starter")*($F$2:$F51=1)),"")</f>
        <v/>
      </c>
      <c r="H51" t="str">
        <f>IF(AND($A51="Main",$F51=1),SUMPRODUCT(($A$2:$A51="Main")*($F$2:$F51=1)),"")</f>
        <v/>
      </c>
      <c r="I51" t="str">
        <f>IF(AND($A51="Dessert",$F51=1),SUMPRODUCT(($A$2:$A51="Dessert")*($F$2:$F51=1)),"")</f>
        <v/>
      </c>
      <c r="J51" t="str">
        <f>IF(AND($A51="Side",$F51=1),SUMPRODUCT(($A$2:$A51="Side")*($F$2:$F51=1)),"")</f>
        <v/>
      </c>
      <c r="K51" t="str">
        <f>IF(AND($A51="Drink",$F51=1),SUMPRODUCT(($A$2:$A51="Drink")*($F$2:$F51=1)),"")</f>
        <v/>
      </c>
      <c r="L51" t="str">
        <f>IF($F51=1,SUMPRODUCT(($F$2:$F51=1)*1),"")</f>
        <v/>
      </c>
    </row>
    <row r="52" spans="7:12">
      <c r="G52" t="str">
        <f>IF(AND($A52="Starter",$F52=1),SUMPRODUCT(($A$2:$A52="Starter")*($F$2:$F52=1)),"")</f>
        <v/>
      </c>
      <c r="H52" t="str">
        <f>IF(AND($A52="Main",$F52=1),SUMPRODUCT(($A$2:$A52="Main")*($F$2:$F52=1)),"")</f>
        <v/>
      </c>
      <c r="I52" t="str">
        <f>IF(AND($A52="Dessert",$F52=1),SUMPRODUCT(($A$2:$A52="Dessert")*($F$2:$F52=1)),"")</f>
        <v/>
      </c>
      <c r="J52" t="str">
        <f>IF(AND($A52="Side",$F52=1),SUMPRODUCT(($A$2:$A52="Side")*($F$2:$F52=1)),"")</f>
        <v/>
      </c>
      <c r="K52" t="str">
        <f>IF(AND($A52="Drink",$F52=1),SUMPRODUCT(($A$2:$A52="Drink")*($F$2:$F52=1)),"")</f>
        <v/>
      </c>
      <c r="L52" t="str">
        <f>IF($F52=1,SUMPRODUCT(($F$2:$F52=1)*1),"")</f>
        <v/>
      </c>
    </row>
    <row r="53" spans="7:12">
      <c r="G53" t="str">
        <f>IF(AND($A53="Starter",$F53=1),SUMPRODUCT(($A$2:$A53="Starter")*($F$2:$F53=1)),"")</f>
        <v/>
      </c>
      <c r="H53" t="str">
        <f>IF(AND($A53="Main",$F53=1),SUMPRODUCT(($A$2:$A53="Main")*($F$2:$F53=1)),"")</f>
        <v/>
      </c>
      <c r="I53" t="str">
        <f>IF(AND($A53="Dessert",$F53=1),SUMPRODUCT(($A$2:$A53="Dessert")*($F$2:$F53=1)),"")</f>
        <v/>
      </c>
      <c r="J53" t="str">
        <f>IF(AND($A53="Side",$F53=1),SUMPRODUCT(($A$2:$A53="Side")*($F$2:$F53=1)),"")</f>
        <v/>
      </c>
      <c r="K53" t="str">
        <f>IF(AND($A53="Drink",$F53=1),SUMPRODUCT(($A$2:$A53="Drink")*($F$2:$F53=1)),"")</f>
        <v/>
      </c>
      <c r="L53" t="str">
        <f>IF($F53=1,SUMPRODUCT(($F$2:$F53=1)*1),"")</f>
        <v/>
      </c>
    </row>
    <row r="54" spans="7:12">
      <c r="G54" t="str">
        <f>IF(AND($A54="Starter",$F54=1),SUMPRODUCT(($A$2:$A54="Starter")*($F$2:$F54=1)),"")</f>
        <v/>
      </c>
      <c r="H54" t="str">
        <f>IF(AND($A54="Main",$F54=1),SUMPRODUCT(($A$2:$A54="Main")*($F$2:$F54=1)),"")</f>
        <v/>
      </c>
      <c r="I54" t="str">
        <f>IF(AND($A54="Dessert",$F54=1),SUMPRODUCT(($A$2:$A54="Dessert")*($F$2:$F54=1)),"")</f>
        <v/>
      </c>
      <c r="J54" t="str">
        <f>IF(AND($A54="Side",$F54=1),SUMPRODUCT(($A$2:$A54="Side")*($F$2:$F54=1)),"")</f>
        <v/>
      </c>
      <c r="K54" t="str">
        <f>IF(AND($A54="Drink",$F54=1),SUMPRODUCT(($A$2:$A54="Drink")*($F$2:$F54=1)),"")</f>
        <v/>
      </c>
      <c r="L54" t="str">
        <f>IF($F54=1,SUMPRODUCT(($F$2:$F54=1)*1),"")</f>
        <v/>
      </c>
    </row>
    <row r="55" spans="7:12">
      <c r="G55" t="str">
        <f>IF(AND($A55="Starter",$F55=1),SUMPRODUCT(($A$2:$A55="Starter")*($F$2:$F55=1)),"")</f>
        <v/>
      </c>
      <c r="H55" t="str">
        <f>IF(AND($A55="Main",$F55=1),SUMPRODUCT(($A$2:$A55="Main")*($F$2:$F55=1)),"")</f>
        <v/>
      </c>
      <c r="I55" t="str">
        <f>IF(AND($A55="Dessert",$F55=1),SUMPRODUCT(($A$2:$A55="Dessert")*($F$2:$F55=1)),"")</f>
        <v/>
      </c>
      <c r="J55" t="str">
        <f>IF(AND($A55="Side",$F55=1),SUMPRODUCT(($A$2:$A55="Side")*($F$2:$F55=1)),"")</f>
        <v/>
      </c>
      <c r="K55" t="str">
        <f>IF(AND($A55="Drink",$F55=1),SUMPRODUCT(($A$2:$A55="Drink")*($F$2:$F55=1)),"")</f>
        <v/>
      </c>
      <c r="L55" t="str">
        <f>IF($F55=1,SUMPRODUCT(($F$2:$F55=1)*1),"")</f>
        <v/>
      </c>
    </row>
    <row r="56" spans="7:12">
      <c r="G56" t="str">
        <f>IF(AND($A56="Starter",$F56=1),SUMPRODUCT(($A$2:$A56="Starter")*($F$2:$F56=1)),"")</f>
        <v/>
      </c>
      <c r="H56" t="str">
        <f>IF(AND($A56="Main",$F56=1),SUMPRODUCT(($A$2:$A56="Main")*($F$2:$F56=1)),"")</f>
        <v/>
      </c>
      <c r="I56" t="str">
        <f>IF(AND($A56="Dessert",$F56=1),SUMPRODUCT(($A$2:$A56="Dessert")*($F$2:$F56=1)),"")</f>
        <v/>
      </c>
      <c r="J56" t="str">
        <f>IF(AND($A56="Side",$F56=1),SUMPRODUCT(($A$2:$A56="Side")*($F$2:$F56=1)),"")</f>
        <v/>
      </c>
      <c r="K56" t="str">
        <f>IF(AND($A56="Drink",$F56=1),SUMPRODUCT(($A$2:$A56="Drink")*($F$2:$F56=1)),"")</f>
        <v/>
      </c>
      <c r="L56" t="str">
        <f>IF($F56=1,SUMPRODUCT(($F$2:$F56=1)*1),"")</f>
        <v/>
      </c>
    </row>
    <row r="57" spans="7:12">
      <c r="G57" t="str">
        <f>IF(AND($A57="Starter",$F57=1),SUMPRODUCT(($A$2:$A57="Starter")*($F$2:$F57=1)),"")</f>
        <v/>
      </c>
      <c r="H57" t="str">
        <f>IF(AND($A57="Main",$F57=1),SUMPRODUCT(($A$2:$A57="Main")*($F$2:$F57=1)),"")</f>
        <v/>
      </c>
      <c r="I57" t="str">
        <f>IF(AND($A57="Dessert",$F57=1),SUMPRODUCT(($A$2:$A57="Dessert")*($F$2:$F57=1)),"")</f>
        <v/>
      </c>
      <c r="J57" t="str">
        <f>IF(AND($A57="Side",$F57=1),SUMPRODUCT(($A$2:$A57="Side")*($F$2:$F57=1)),"")</f>
        <v/>
      </c>
      <c r="K57" t="str">
        <f>IF(AND($A57="Drink",$F57=1),SUMPRODUCT(($A$2:$A57="Drink")*($F$2:$F57=1)),"")</f>
        <v/>
      </c>
      <c r="L57" t="str">
        <f>IF($F57=1,SUMPRODUCT(($F$2:$F57=1)*1),"")</f>
        <v/>
      </c>
    </row>
    <row r="58" spans="7:12">
      <c r="G58" t="str">
        <f>IF(AND($A58="Starter",$F58=1),SUMPRODUCT(($A$2:$A58="Starter")*($F$2:$F58=1)),"")</f>
        <v/>
      </c>
      <c r="H58" t="str">
        <f>IF(AND($A58="Main",$F58=1),SUMPRODUCT(($A$2:$A58="Main")*($F$2:$F58=1)),"")</f>
        <v/>
      </c>
      <c r="I58" t="str">
        <f>IF(AND($A58="Dessert",$F58=1),SUMPRODUCT(($A$2:$A58="Dessert")*($F$2:$F58=1)),"")</f>
        <v/>
      </c>
      <c r="J58" t="str">
        <f>IF(AND($A58="Side",$F58=1),SUMPRODUCT(($A$2:$A58="Side")*($F$2:$F58=1)),"")</f>
        <v/>
      </c>
      <c r="K58" t="str">
        <f>IF(AND($A58="Drink",$F58=1),SUMPRODUCT(($A$2:$A58="Drink")*($F$2:$F58=1)),"")</f>
        <v/>
      </c>
      <c r="L58" t="str">
        <f>IF($F58=1,SUMPRODUCT(($F$2:$F58=1)*1),"")</f>
        <v/>
      </c>
    </row>
    <row r="59" spans="7:12">
      <c r="G59" t="str">
        <f>IF(AND($A59="Starter",$F59=1),SUMPRODUCT(($A$2:$A59="Starter")*($F$2:$F59=1)),"")</f>
        <v/>
      </c>
      <c r="H59" t="str">
        <f>IF(AND($A59="Main",$F59=1),SUMPRODUCT(($A$2:$A59="Main")*($F$2:$F59=1)),"")</f>
        <v/>
      </c>
      <c r="I59" t="str">
        <f>IF(AND($A59="Dessert",$F59=1),SUMPRODUCT(($A$2:$A59="Dessert")*($F$2:$F59=1)),"")</f>
        <v/>
      </c>
      <c r="J59" t="str">
        <f>IF(AND($A59="Side",$F59=1),SUMPRODUCT(($A$2:$A59="Side")*($F$2:$F59=1)),"")</f>
        <v/>
      </c>
      <c r="K59" t="str">
        <f>IF(AND($A59="Drink",$F59=1),SUMPRODUCT(($A$2:$A59="Drink")*($F$2:$F59=1)),"")</f>
        <v/>
      </c>
      <c r="L59" t="str">
        <f>IF($F59=1,SUMPRODUCT(($F$2:$F59=1)*1),"")</f>
        <v/>
      </c>
    </row>
    <row r="60" spans="7:12">
      <c r="G60" t="str">
        <f>IF(AND($A60="Starter",$F60=1),SUMPRODUCT(($A$2:$A60="Starter")*($F$2:$F60=1)),"")</f>
        <v/>
      </c>
      <c r="H60" t="str">
        <f>IF(AND($A60="Main",$F60=1),SUMPRODUCT(($A$2:$A60="Main")*($F$2:$F60=1)),"")</f>
        <v/>
      </c>
      <c r="I60" t="str">
        <f>IF(AND($A60="Dessert",$F60=1),SUMPRODUCT(($A$2:$A60="Dessert")*($F$2:$F60=1)),"")</f>
        <v/>
      </c>
      <c r="J60" t="str">
        <f>IF(AND($A60="Side",$F60=1),SUMPRODUCT(($A$2:$A60="Side")*($F$2:$F60=1)),"")</f>
        <v/>
      </c>
      <c r="K60" t="str">
        <f>IF(AND($A60="Drink",$F60=1),SUMPRODUCT(($A$2:$A60="Drink")*($F$2:$F60=1)),"")</f>
        <v/>
      </c>
      <c r="L60" t="str">
        <f>IF($F60=1,SUMPRODUCT(($F$2:$F60=1)*1),"")</f>
        <v/>
      </c>
    </row>
    <row r="61" spans="7:12">
      <c r="G61" t="str">
        <f>IF(AND($A61="Starter",$F61=1),SUMPRODUCT(($A$2:$A61="Starter")*($F$2:$F61=1)),"")</f>
        <v/>
      </c>
      <c r="H61" t="str">
        <f>IF(AND($A61="Main",$F61=1),SUMPRODUCT(($A$2:$A61="Main")*($F$2:$F61=1)),"")</f>
        <v/>
      </c>
      <c r="I61" t="str">
        <f>IF(AND($A61="Dessert",$F61=1),SUMPRODUCT(($A$2:$A61="Dessert")*($F$2:$F61=1)),"")</f>
        <v/>
      </c>
      <c r="J61" t="str">
        <f>IF(AND($A61="Side",$F61=1),SUMPRODUCT(($A$2:$A61="Side")*($F$2:$F61=1)),"")</f>
        <v/>
      </c>
      <c r="K61" t="str">
        <f>IF(AND($A61="Drink",$F61=1),SUMPRODUCT(($A$2:$A61="Drink")*($F$2:$F61=1)),"")</f>
        <v/>
      </c>
      <c r="L61" t="str">
        <f>IF($F61=1,SUMPRODUCT(($F$2:$F61=1)*1),"")</f>
        <v/>
      </c>
    </row>
    <row r="62" spans="7:12">
      <c r="G62" t="str">
        <f>IF(AND($A62="Starter",$F62=1),SUMPRODUCT(($A$2:$A62="Starter")*($F$2:$F62=1)),"")</f>
        <v/>
      </c>
      <c r="H62" t="str">
        <f>IF(AND($A62="Main",$F62=1),SUMPRODUCT(($A$2:$A62="Main")*($F$2:$F62=1)),"")</f>
        <v/>
      </c>
      <c r="I62" t="str">
        <f>IF(AND($A62="Dessert",$F62=1),SUMPRODUCT(($A$2:$A62="Dessert")*($F$2:$F62=1)),"")</f>
        <v/>
      </c>
      <c r="J62" t="str">
        <f>IF(AND($A62="Side",$F62=1),SUMPRODUCT(($A$2:$A62="Side")*($F$2:$F62=1)),"")</f>
        <v/>
      </c>
      <c r="K62" t="str">
        <f>IF(AND($A62="Drink",$F62=1),SUMPRODUCT(($A$2:$A62="Drink")*($F$2:$F62=1)),"")</f>
        <v/>
      </c>
      <c r="L62" t="str">
        <f>IF($F62=1,SUMPRODUCT(($F$2:$F62=1)*1),"")</f>
        <v/>
      </c>
    </row>
    <row r="63" spans="7:12">
      <c r="G63" t="str">
        <f>IF(AND($A63="Starter",$F63=1),SUMPRODUCT(($A$2:$A63="Starter")*($F$2:$F63=1)),"")</f>
        <v/>
      </c>
      <c r="H63" t="str">
        <f>IF(AND($A63="Main",$F63=1),SUMPRODUCT(($A$2:$A63="Main")*($F$2:$F63=1)),"")</f>
        <v/>
      </c>
      <c r="I63" t="str">
        <f>IF(AND($A63="Dessert",$F63=1),SUMPRODUCT(($A$2:$A63="Dessert")*($F$2:$F63=1)),"")</f>
        <v/>
      </c>
      <c r="J63" t="str">
        <f>IF(AND($A63="Side",$F63=1),SUMPRODUCT(($A$2:$A63="Side")*($F$2:$F63=1)),"")</f>
        <v/>
      </c>
      <c r="K63" t="str">
        <f>IF(AND($A63="Drink",$F63=1),SUMPRODUCT(($A$2:$A63="Drink")*($F$2:$F63=1)),"")</f>
        <v/>
      </c>
      <c r="L63" t="str">
        <f>IF($F63=1,SUMPRODUCT(($F$2:$F63=1)*1),"")</f>
        <v/>
      </c>
    </row>
    <row r="64" spans="7:12">
      <c r="G64" t="str">
        <f>IF(AND($A64="Starter",$F64=1),SUMPRODUCT(($A$2:$A64="Starter")*($F$2:$F64=1)),"")</f>
        <v/>
      </c>
      <c r="H64" t="str">
        <f>IF(AND($A64="Main",$F64=1),SUMPRODUCT(($A$2:$A64="Main")*($F$2:$F64=1)),"")</f>
        <v/>
      </c>
      <c r="I64" t="str">
        <f>IF(AND($A64="Dessert",$F64=1),SUMPRODUCT(($A$2:$A64="Dessert")*($F$2:$F64=1)),"")</f>
        <v/>
      </c>
      <c r="J64" t="str">
        <f>IF(AND($A64="Side",$F64=1),SUMPRODUCT(($A$2:$A64="Side")*($F$2:$F64=1)),"")</f>
        <v/>
      </c>
      <c r="K64" t="str">
        <f>IF(AND($A64="Drink",$F64=1),SUMPRODUCT(($A$2:$A64="Drink")*($F$2:$F64=1)),"")</f>
        <v/>
      </c>
      <c r="L64" t="str">
        <f>IF($F64=1,SUMPRODUCT(($F$2:$F64=1)*1),"")</f>
        <v/>
      </c>
    </row>
    <row r="65" spans="7:12">
      <c r="G65" t="str">
        <f>IF(AND($A65="Starter",$F65=1),SUMPRODUCT(($A$2:$A65="Starter")*($F$2:$F65=1)),"")</f>
        <v/>
      </c>
      <c r="H65" t="str">
        <f>IF(AND($A65="Main",$F65=1),SUMPRODUCT(($A$2:$A65="Main")*($F$2:$F65=1)),"")</f>
        <v/>
      </c>
      <c r="I65" t="str">
        <f>IF(AND($A65="Dessert",$F65=1),SUMPRODUCT(($A$2:$A65="Dessert")*($F$2:$F65=1)),"")</f>
        <v/>
      </c>
      <c r="J65" t="str">
        <f>IF(AND($A65="Side",$F65=1),SUMPRODUCT(($A$2:$A65="Side")*($F$2:$F65=1)),"")</f>
        <v/>
      </c>
      <c r="K65" t="str">
        <f>IF(AND($A65="Drink",$F65=1),SUMPRODUCT(($A$2:$A65="Drink")*($F$2:$F65=1)),"")</f>
        <v/>
      </c>
      <c r="L65" t="str">
        <f>IF($F65=1,SUMPRODUCT(($F$2:$F65=1)*1),"")</f>
        <v/>
      </c>
    </row>
    <row r="66" spans="7:12">
      <c r="G66" t="str">
        <f>IF(AND($A66="Starter",$F66=1),SUMPRODUCT(($A$2:$A66="Starter")*($F$2:$F66=1)),"")</f>
        <v/>
      </c>
      <c r="H66" t="str">
        <f>IF(AND($A66="Main",$F66=1),SUMPRODUCT(($A$2:$A66="Main")*($F$2:$F66=1)),"")</f>
        <v/>
      </c>
      <c r="I66" t="str">
        <f>IF(AND($A66="Dessert",$F66=1),SUMPRODUCT(($A$2:$A66="Dessert")*($F$2:$F66=1)),"")</f>
        <v/>
      </c>
      <c r="J66" t="str">
        <f>IF(AND($A66="Side",$F66=1),SUMPRODUCT(($A$2:$A66="Side")*($F$2:$F66=1)),"")</f>
        <v/>
      </c>
      <c r="K66" t="str">
        <f>IF(AND($A66="Drink",$F66=1),SUMPRODUCT(($A$2:$A66="Drink")*($F$2:$F66=1)),"")</f>
        <v/>
      </c>
      <c r="L66" t="str">
        <f>IF($F66=1,SUMPRODUCT(($F$2:$F66=1)*1),"")</f>
        <v/>
      </c>
    </row>
    <row r="67" spans="7:12">
      <c r="G67" t="str">
        <f>IF(AND($A67="Starter",$F67=1),SUMPRODUCT(($A$2:$A67="Starter")*($F$2:$F67=1)),"")</f>
        <v/>
      </c>
      <c r="H67" t="str">
        <f>IF(AND($A67="Main",$F67=1),SUMPRODUCT(($A$2:$A67="Main")*($F$2:$F67=1)),"")</f>
        <v/>
      </c>
      <c r="I67" t="str">
        <f>IF(AND($A67="Dessert",$F67=1),SUMPRODUCT(($A$2:$A67="Dessert")*($F$2:$F67=1)),"")</f>
        <v/>
      </c>
      <c r="J67" t="str">
        <f>IF(AND($A67="Side",$F67=1),SUMPRODUCT(($A$2:$A67="Side")*($F$2:$F67=1)),"")</f>
        <v/>
      </c>
      <c r="K67" t="str">
        <f>IF(AND($A67="Drink",$F67=1),SUMPRODUCT(($A$2:$A67="Drink")*($F$2:$F67=1)),"")</f>
        <v/>
      </c>
      <c r="L67" t="str">
        <f>IF($F67=1,SUMPRODUCT(($F$2:$F67=1)*1),"")</f>
        <v/>
      </c>
    </row>
    <row r="68" spans="7:12">
      <c r="G68" t="str">
        <f>IF(AND($A68="Starter",$F68=1),SUMPRODUCT(($A$2:$A68="Starter")*($F$2:$F68=1)),"")</f>
        <v/>
      </c>
      <c r="H68" t="str">
        <f>IF(AND($A68="Main",$F68=1),SUMPRODUCT(($A$2:$A68="Main")*($F$2:$F68=1)),"")</f>
        <v/>
      </c>
      <c r="I68" t="str">
        <f>IF(AND($A68="Dessert",$F68=1),SUMPRODUCT(($A$2:$A68="Dessert")*($F$2:$F68=1)),"")</f>
        <v/>
      </c>
      <c r="J68" t="str">
        <f>IF(AND($A68="Side",$F68=1),SUMPRODUCT(($A$2:$A68="Side")*($F$2:$F68=1)),"")</f>
        <v/>
      </c>
      <c r="K68" t="str">
        <f>IF(AND($A68="Drink",$F68=1),SUMPRODUCT(($A$2:$A68="Drink")*($F$2:$F68=1)),"")</f>
        <v/>
      </c>
      <c r="L68" t="str">
        <f>IF($F68=1,SUMPRODUCT(($F$2:$F68=1)*1),"")</f>
        <v/>
      </c>
    </row>
    <row r="69" spans="7:12">
      <c r="G69" t="str">
        <f>IF(AND($A69="Starter",$F69=1),SUMPRODUCT(($A$2:$A69="Starter")*($F$2:$F69=1)),"")</f>
        <v/>
      </c>
      <c r="H69" t="str">
        <f>IF(AND($A69="Main",$F69=1),SUMPRODUCT(($A$2:$A69="Main")*($F$2:$F69=1)),"")</f>
        <v/>
      </c>
      <c r="I69" t="str">
        <f>IF(AND($A69="Dessert",$F69=1),SUMPRODUCT(($A$2:$A69="Dessert")*($F$2:$F69=1)),"")</f>
        <v/>
      </c>
      <c r="J69" t="str">
        <f>IF(AND($A69="Side",$F69=1),SUMPRODUCT(($A$2:$A69="Side")*($F$2:$F69=1)),"")</f>
        <v/>
      </c>
      <c r="K69" t="str">
        <f>IF(AND($A69="Drink",$F69=1),SUMPRODUCT(($A$2:$A69="Drink")*($F$2:$F69=1)),"")</f>
        <v/>
      </c>
      <c r="L69" t="str">
        <f>IF($F69=1,SUMPRODUCT(($F$2:$F69=1)*1),"")</f>
        <v/>
      </c>
    </row>
    <row r="70" spans="7:12">
      <c r="G70" t="str">
        <f>IF(AND($A70="Starter",$F70=1),SUMPRODUCT(($A$2:$A70="Starter")*($F$2:$F70=1)),"")</f>
        <v/>
      </c>
      <c r="H70" t="str">
        <f>IF(AND($A70="Main",$F70=1),SUMPRODUCT(($A$2:$A70="Main")*($F$2:$F70=1)),"")</f>
        <v/>
      </c>
      <c r="I70" t="str">
        <f>IF(AND($A70="Dessert",$F70=1),SUMPRODUCT(($A$2:$A70="Dessert")*($F$2:$F70=1)),"")</f>
        <v/>
      </c>
      <c r="J70" t="str">
        <f>IF(AND($A70="Side",$F70=1),SUMPRODUCT(($A$2:$A70="Side")*($F$2:$F70=1)),"")</f>
        <v/>
      </c>
      <c r="K70" t="str">
        <f>IF(AND($A70="Drink",$F70=1),SUMPRODUCT(($A$2:$A70="Drink")*($F$2:$F70=1)),"")</f>
        <v/>
      </c>
      <c r="L70" t="str">
        <f>IF($F70=1,SUMPRODUCT(($F$2:$F70=1)*1),"")</f>
        <v/>
      </c>
    </row>
    <row r="71" spans="7:12">
      <c r="G71" t="str">
        <f>IF(AND($A71="Starter",$F71=1),SUMPRODUCT(($A$2:$A71="Starter")*($F$2:$F71=1)),"")</f>
        <v/>
      </c>
      <c r="H71" t="str">
        <f>IF(AND($A71="Main",$F71=1),SUMPRODUCT(($A$2:$A71="Main")*($F$2:$F71=1)),"")</f>
        <v/>
      </c>
      <c r="I71" t="str">
        <f>IF(AND($A71="Dessert",$F71=1),SUMPRODUCT(($A$2:$A71="Dessert")*($F$2:$F71=1)),"")</f>
        <v/>
      </c>
      <c r="J71" t="str">
        <f>IF(AND($A71="Side",$F71=1),SUMPRODUCT(($A$2:$A71="Side")*($F$2:$F71=1)),"")</f>
        <v/>
      </c>
      <c r="K71" t="str">
        <f>IF(AND($A71="Drink",$F71=1),SUMPRODUCT(($A$2:$A71="Drink")*($F$2:$F71=1)),"")</f>
        <v/>
      </c>
      <c r="L71" t="str">
        <f>IF($F71=1,SUMPRODUCT(($F$2:$F71=1)*1),"")</f>
        <v/>
      </c>
    </row>
    <row r="72" spans="7:12">
      <c r="G72" t="str">
        <f>IF(AND($A72="Starter",$F72=1),SUMPRODUCT(($A$2:$A72="Starter")*($F$2:$F72=1)),"")</f>
        <v/>
      </c>
      <c r="H72" t="str">
        <f>IF(AND($A72="Main",$F72=1),SUMPRODUCT(($A$2:$A72="Main")*($F$2:$F72=1)),"")</f>
        <v/>
      </c>
      <c r="I72" t="str">
        <f>IF(AND($A72="Dessert",$F72=1),SUMPRODUCT(($A$2:$A72="Dessert")*($F$2:$F72=1)),"")</f>
        <v/>
      </c>
      <c r="J72" t="str">
        <f>IF(AND($A72="Side",$F72=1),SUMPRODUCT(($A$2:$A72="Side")*($F$2:$F72=1)),"")</f>
        <v/>
      </c>
      <c r="K72" t="str">
        <f>IF(AND($A72="Drink",$F72=1),SUMPRODUCT(($A$2:$A72="Drink")*($F$2:$F72=1)),"")</f>
        <v/>
      </c>
      <c r="L72" t="str">
        <f>IF($F72=1,SUMPRODUCT(($F$2:$F72=1)*1),"")</f>
        <v/>
      </c>
    </row>
    <row r="73" spans="7:12">
      <c r="G73" t="str">
        <f>IF(AND($A73="Starter",$F73=1),SUMPRODUCT(($A$2:$A73="Starter")*($F$2:$F73=1)),"")</f>
        <v/>
      </c>
      <c r="H73" t="str">
        <f>IF(AND($A73="Main",$F73=1),SUMPRODUCT(($A$2:$A73="Main")*($F$2:$F73=1)),"")</f>
        <v/>
      </c>
      <c r="I73" t="str">
        <f>IF(AND($A73="Dessert",$F73=1),SUMPRODUCT(($A$2:$A73="Dessert")*($F$2:$F73=1)),"")</f>
        <v/>
      </c>
      <c r="J73" t="str">
        <f>IF(AND($A73="Side",$F73=1),SUMPRODUCT(($A$2:$A73="Side")*($F$2:$F73=1)),"")</f>
        <v/>
      </c>
      <c r="K73" t="str">
        <f>IF(AND($A73="Drink",$F73=1),SUMPRODUCT(($A$2:$A73="Drink")*($F$2:$F73=1)),"")</f>
        <v/>
      </c>
      <c r="L73" t="str">
        <f>IF($F73=1,SUMPRODUCT(($F$2:$F73=1)*1),"")</f>
        <v/>
      </c>
    </row>
    <row r="74" spans="7:12">
      <c r="G74" t="str">
        <f>IF(AND($A74="Starter",$F74=1),SUMPRODUCT(($A$2:$A74="Starter")*($F$2:$F74=1)),"")</f>
        <v/>
      </c>
      <c r="H74" t="str">
        <f>IF(AND($A74="Main",$F74=1),SUMPRODUCT(($A$2:$A74="Main")*($F$2:$F74=1)),"")</f>
        <v/>
      </c>
      <c r="I74" t="str">
        <f>IF(AND($A74="Dessert",$F74=1),SUMPRODUCT(($A$2:$A74="Dessert")*($F$2:$F74=1)),"")</f>
        <v/>
      </c>
      <c r="J74" t="str">
        <f>IF(AND($A74="Side",$F74=1),SUMPRODUCT(($A$2:$A74="Side")*($F$2:$F74=1)),"")</f>
        <v/>
      </c>
      <c r="K74" t="str">
        <f>IF(AND($A74="Drink",$F74=1),SUMPRODUCT(($A$2:$A74="Drink")*($F$2:$F74=1)),"")</f>
        <v/>
      </c>
      <c r="L74" t="str">
        <f>IF($F74=1,SUMPRODUCT(($F$2:$F74=1)*1),"")</f>
        <v/>
      </c>
    </row>
    <row r="75" spans="7:12">
      <c r="G75" t="str">
        <f>IF(AND($A75="Starter",$F75=1),SUMPRODUCT(($A$2:$A75="Starter")*($F$2:$F75=1)),"")</f>
        <v/>
      </c>
      <c r="H75" t="str">
        <f>IF(AND($A75="Main",$F75=1),SUMPRODUCT(($A$2:$A75="Main")*($F$2:$F75=1)),"")</f>
        <v/>
      </c>
      <c r="I75" t="str">
        <f>IF(AND($A75="Dessert",$F75=1),SUMPRODUCT(($A$2:$A75="Dessert")*($F$2:$F75=1)),"")</f>
        <v/>
      </c>
      <c r="J75" t="str">
        <f>IF(AND($A75="Side",$F75=1),SUMPRODUCT(($A$2:$A75="Side")*($F$2:$F75=1)),"")</f>
        <v/>
      </c>
      <c r="K75" t="str">
        <f>IF(AND($A75="Drink",$F75=1),SUMPRODUCT(($A$2:$A75="Drink")*($F$2:$F75=1)),"")</f>
        <v/>
      </c>
      <c r="L75" t="str">
        <f>IF($F75=1,SUMPRODUCT(($F$2:$F75=1)*1),"")</f>
        <v/>
      </c>
    </row>
    <row r="76" spans="7:12">
      <c r="G76" t="str">
        <f>IF(AND($A76="Starter",$F76=1),SUMPRODUCT(($A$2:$A76="Starter")*($F$2:$F76=1)),"")</f>
        <v/>
      </c>
      <c r="H76" t="str">
        <f>IF(AND($A76="Main",$F76=1),SUMPRODUCT(($A$2:$A76="Main")*($F$2:$F76=1)),"")</f>
        <v/>
      </c>
      <c r="I76" t="str">
        <f>IF(AND($A76="Dessert",$F76=1),SUMPRODUCT(($A$2:$A76="Dessert")*($F$2:$F76=1)),"")</f>
        <v/>
      </c>
      <c r="J76" t="str">
        <f>IF(AND($A76="Side",$F76=1),SUMPRODUCT(($A$2:$A76="Side")*($F$2:$F76=1)),"")</f>
        <v/>
      </c>
      <c r="K76" t="str">
        <f>IF(AND($A76="Drink",$F76=1),SUMPRODUCT(($A$2:$A76="Drink")*($F$2:$F76=1)),"")</f>
        <v/>
      </c>
      <c r="L76" t="str">
        <f>IF($F76=1,SUMPRODUCT(($F$2:$F76=1)*1),"")</f>
        <v/>
      </c>
    </row>
    <row r="77" spans="7:12">
      <c r="G77" t="str">
        <f>IF(AND($A77="Starter",$F77=1),SUMPRODUCT(($A$2:$A77="Starter")*($F$2:$F77=1)),"")</f>
        <v/>
      </c>
      <c r="H77" t="str">
        <f>IF(AND($A77="Main",$F77=1),SUMPRODUCT(($A$2:$A77="Main")*($F$2:$F77=1)),"")</f>
        <v/>
      </c>
      <c r="I77" t="str">
        <f>IF(AND($A77="Dessert",$F77=1),SUMPRODUCT(($A$2:$A77="Dessert")*($F$2:$F77=1)),"")</f>
        <v/>
      </c>
      <c r="J77" t="str">
        <f>IF(AND($A77="Side",$F77=1),SUMPRODUCT(($A$2:$A77="Side")*($F$2:$F77=1)),"")</f>
        <v/>
      </c>
      <c r="K77" t="str">
        <f>IF(AND($A77="Drink",$F77=1),SUMPRODUCT(($A$2:$A77="Drink")*($F$2:$F77=1)),"")</f>
        <v/>
      </c>
      <c r="L77" t="str">
        <f>IF($F77=1,SUMPRODUCT(($F$2:$F77=1)*1),"")</f>
        <v/>
      </c>
    </row>
    <row r="78" spans="7:12">
      <c r="G78" t="str">
        <f>IF(AND($A78="Starter",$F78=1),SUMPRODUCT(($A$2:$A78="Starter")*($F$2:$F78=1)),"")</f>
        <v/>
      </c>
      <c r="H78" t="str">
        <f>IF(AND($A78="Main",$F78=1),SUMPRODUCT(($A$2:$A78="Main")*($F$2:$F78=1)),"")</f>
        <v/>
      </c>
      <c r="I78" t="str">
        <f>IF(AND($A78="Dessert",$F78=1),SUMPRODUCT(($A$2:$A78="Dessert")*($F$2:$F78=1)),"")</f>
        <v/>
      </c>
      <c r="J78" t="str">
        <f>IF(AND($A78="Side",$F78=1),SUMPRODUCT(($A$2:$A78="Side")*($F$2:$F78=1)),"")</f>
        <v/>
      </c>
      <c r="K78" t="str">
        <f>IF(AND($A78="Drink",$F78=1),SUMPRODUCT(($A$2:$A78="Drink")*($F$2:$F78=1)),"")</f>
        <v/>
      </c>
      <c r="L78" t="str">
        <f>IF($F78=1,SUMPRODUCT(($F$2:$F78=1)*1),"")</f>
        <v/>
      </c>
    </row>
    <row r="79" spans="7:12">
      <c r="G79" t="str">
        <f>IF(AND($A79="Starter",$F79=1),SUMPRODUCT(($A$2:$A79="Starter")*($F$2:$F79=1)),"")</f>
        <v/>
      </c>
      <c r="H79" t="str">
        <f>IF(AND($A79="Main",$F79=1),SUMPRODUCT(($A$2:$A79="Main")*($F$2:$F79=1)),"")</f>
        <v/>
      </c>
      <c r="I79" t="str">
        <f>IF(AND($A79="Dessert",$F79=1),SUMPRODUCT(($A$2:$A79="Dessert")*($F$2:$F79=1)),"")</f>
        <v/>
      </c>
      <c r="J79" t="str">
        <f>IF(AND($A79="Side",$F79=1),SUMPRODUCT(($A$2:$A79="Side")*($F$2:$F79=1)),"")</f>
        <v/>
      </c>
      <c r="K79" t="str">
        <f>IF(AND($A79="Drink",$F79=1),SUMPRODUCT(($A$2:$A79="Drink")*($F$2:$F79=1)),"")</f>
        <v/>
      </c>
      <c r="L79" t="str">
        <f>IF($F79=1,SUMPRODUCT(($F$2:$F79=1)*1),"")</f>
        <v/>
      </c>
    </row>
    <row r="80" spans="7:12">
      <c r="G80" t="str">
        <f>IF(AND($A80="Starter",$F80=1),SUMPRODUCT(($A$2:$A80="Starter")*($F$2:$F80=1)),"")</f>
        <v/>
      </c>
      <c r="H80" t="str">
        <f>IF(AND($A80="Main",$F80=1),SUMPRODUCT(($A$2:$A80="Main")*($F$2:$F80=1)),"")</f>
        <v/>
      </c>
      <c r="I80" t="str">
        <f>IF(AND($A80="Dessert",$F80=1),SUMPRODUCT(($A$2:$A80="Dessert")*($F$2:$F80=1)),"")</f>
        <v/>
      </c>
      <c r="J80" t="str">
        <f>IF(AND($A80="Side",$F80=1),SUMPRODUCT(($A$2:$A80="Side")*($F$2:$F80=1)),"")</f>
        <v/>
      </c>
      <c r="K80" t="str">
        <f>IF(AND($A80="Drink",$F80=1),SUMPRODUCT(($A$2:$A80="Drink")*($F$2:$F80=1)),"")</f>
        <v/>
      </c>
      <c r="L80" t="str">
        <f>IF($F80=1,SUMPRODUCT(($F$2:$F80=1)*1),"")</f>
        <v/>
      </c>
    </row>
    <row r="81" spans="7:12">
      <c r="G81" t="str">
        <f>IF(AND($A81="Starter",$F81=1),SUMPRODUCT(($A$2:$A81="Starter")*($F$2:$F81=1)),"")</f>
        <v/>
      </c>
      <c r="H81" t="str">
        <f>IF(AND($A81="Main",$F81=1),SUMPRODUCT(($A$2:$A81="Main")*($F$2:$F81=1)),"")</f>
        <v/>
      </c>
      <c r="I81" t="str">
        <f>IF(AND($A81="Dessert",$F81=1),SUMPRODUCT(($A$2:$A81="Dessert")*($F$2:$F81=1)),"")</f>
        <v/>
      </c>
      <c r="J81" t="str">
        <f>IF(AND($A81="Side",$F81=1),SUMPRODUCT(($A$2:$A81="Side")*($F$2:$F81=1)),"")</f>
        <v/>
      </c>
      <c r="K81" t="str">
        <f>IF(AND($A81="Drink",$F81=1),SUMPRODUCT(($A$2:$A81="Drink")*($F$2:$F81=1)),"")</f>
        <v/>
      </c>
      <c r="L81" t="str">
        <f>IF($F81=1,SUMPRODUCT(($F$2:$F81=1)*1),"")</f>
        <v/>
      </c>
    </row>
    <row r="82" spans="7:12">
      <c r="G82" t="str">
        <f>IF(AND($A82="Starter",$F82=1),SUMPRODUCT(($A$2:$A82="Starter")*($F$2:$F82=1)),"")</f>
        <v/>
      </c>
      <c r="H82" t="str">
        <f>IF(AND($A82="Main",$F82=1),SUMPRODUCT(($A$2:$A82="Main")*($F$2:$F82=1)),"")</f>
        <v/>
      </c>
      <c r="I82" t="str">
        <f>IF(AND($A82="Dessert",$F82=1),SUMPRODUCT(($A$2:$A82="Dessert")*($F$2:$F82=1)),"")</f>
        <v/>
      </c>
      <c r="J82" t="str">
        <f>IF(AND($A82="Side",$F82=1),SUMPRODUCT(($A$2:$A82="Side")*($F$2:$F82=1)),"")</f>
        <v/>
      </c>
      <c r="K82" t="str">
        <f>IF(AND($A82="Drink",$F82=1),SUMPRODUCT(($A$2:$A82="Drink")*($F$2:$F82=1)),"")</f>
        <v/>
      </c>
      <c r="L82" t="str">
        <f>IF($F82=1,SUMPRODUCT(($F$2:$F82=1)*1),"")</f>
        <v/>
      </c>
    </row>
    <row r="83" spans="7:12">
      <c r="G83" t="str">
        <f>IF(AND($A83="Starter",$F83=1),SUMPRODUCT(($A$2:$A83="Starter")*($F$2:$F83=1)),"")</f>
        <v/>
      </c>
      <c r="H83" t="str">
        <f>IF(AND($A83="Main",$F83=1),SUMPRODUCT(($A$2:$A83="Main")*($F$2:$F83=1)),"")</f>
        <v/>
      </c>
      <c r="I83" t="str">
        <f>IF(AND($A83="Dessert",$F83=1),SUMPRODUCT(($A$2:$A83="Dessert")*($F$2:$F83=1)),"")</f>
        <v/>
      </c>
      <c r="J83" t="str">
        <f>IF(AND($A83="Side",$F83=1),SUMPRODUCT(($A$2:$A83="Side")*($F$2:$F83=1)),"")</f>
        <v/>
      </c>
      <c r="K83" t="str">
        <f>IF(AND($A83="Drink",$F83=1),SUMPRODUCT(($A$2:$A83="Drink")*($F$2:$F83=1)),"")</f>
        <v/>
      </c>
      <c r="L83" t="str">
        <f>IF($F83=1,SUMPRODUCT(($F$2:$F83=1)*1),"")</f>
        <v/>
      </c>
    </row>
    <row r="84" spans="7:12">
      <c r="G84" t="str">
        <f>IF(AND($A84="Starter",$F84=1),SUMPRODUCT(($A$2:$A84="Starter")*($F$2:$F84=1)),"")</f>
        <v/>
      </c>
      <c r="H84" t="str">
        <f>IF(AND($A84="Main",$F84=1),SUMPRODUCT(($A$2:$A84="Main")*($F$2:$F84=1)),"")</f>
        <v/>
      </c>
      <c r="I84" t="str">
        <f>IF(AND($A84="Dessert",$F84=1),SUMPRODUCT(($A$2:$A84="Dessert")*($F$2:$F84=1)),"")</f>
        <v/>
      </c>
      <c r="J84" t="str">
        <f>IF(AND($A84="Side",$F84=1),SUMPRODUCT(($A$2:$A84="Side")*($F$2:$F84=1)),"")</f>
        <v/>
      </c>
      <c r="K84" t="str">
        <f>IF(AND($A84="Drink",$F84=1),SUMPRODUCT(($A$2:$A84="Drink")*($F$2:$F84=1)),"")</f>
        <v/>
      </c>
      <c r="L84" t="str">
        <f>IF($F84=1,SUMPRODUCT(($F$2:$F84=1)*1),"")</f>
        <v/>
      </c>
    </row>
    <row r="85" spans="7:12">
      <c r="G85" t="str">
        <f>IF(AND($A85="Starter",$F85=1),SUMPRODUCT(($A$2:$A85="Starter")*($F$2:$F85=1)),"")</f>
        <v/>
      </c>
      <c r="H85" t="str">
        <f>IF(AND($A85="Main",$F85=1),SUMPRODUCT(($A$2:$A85="Main")*($F$2:$F85=1)),"")</f>
        <v/>
      </c>
      <c r="I85" t="str">
        <f>IF(AND($A85="Dessert",$F85=1),SUMPRODUCT(($A$2:$A85="Dessert")*($F$2:$F85=1)),"")</f>
        <v/>
      </c>
      <c r="J85" t="str">
        <f>IF(AND($A85="Side",$F85=1),SUMPRODUCT(($A$2:$A85="Side")*($F$2:$F85=1)),"")</f>
        <v/>
      </c>
      <c r="K85" t="str">
        <f>IF(AND($A85="Drink",$F85=1),SUMPRODUCT(($A$2:$A85="Drink")*($F$2:$F85=1)),"")</f>
        <v/>
      </c>
      <c r="L85" t="str">
        <f>IF($F85=1,SUMPRODUCT(($F$2:$F85=1)*1),"")</f>
        <v/>
      </c>
    </row>
    <row r="86" spans="7:12">
      <c r="G86" t="str">
        <f>IF(AND($A86="Starter",$F86=1),SUMPRODUCT(($A$2:$A86="Starter")*($F$2:$F86=1)),"")</f>
        <v/>
      </c>
      <c r="H86" t="str">
        <f>IF(AND($A86="Main",$F86=1),SUMPRODUCT(($A$2:$A86="Main")*($F$2:$F86=1)),"")</f>
        <v/>
      </c>
      <c r="I86" t="str">
        <f>IF(AND($A86="Dessert",$F86=1),SUMPRODUCT(($A$2:$A86="Dessert")*($F$2:$F86=1)),"")</f>
        <v/>
      </c>
      <c r="J86" t="str">
        <f>IF(AND($A86="Side",$F86=1),SUMPRODUCT(($A$2:$A86="Side")*($F$2:$F86=1)),"")</f>
        <v/>
      </c>
      <c r="K86" t="str">
        <f>IF(AND($A86="Drink",$F86=1),SUMPRODUCT(($A$2:$A86="Drink")*($F$2:$F86=1)),"")</f>
        <v/>
      </c>
      <c r="L86" t="str">
        <f>IF($F86=1,SUMPRODUCT(($F$2:$F86=1)*1),"")</f>
        <v/>
      </c>
    </row>
    <row r="87" spans="7:12">
      <c r="G87" t="str">
        <f>IF(AND($A87="Starter",$F87=1),SUMPRODUCT(($A$2:$A87="Starter")*($F$2:$F87=1)),"")</f>
        <v/>
      </c>
      <c r="H87" t="str">
        <f>IF(AND($A87="Main",$F87=1),SUMPRODUCT(($A$2:$A87="Main")*($F$2:$F87=1)),"")</f>
        <v/>
      </c>
      <c r="I87" t="str">
        <f>IF(AND($A87="Dessert",$F87=1),SUMPRODUCT(($A$2:$A87="Dessert")*($F$2:$F87=1)),"")</f>
        <v/>
      </c>
      <c r="J87" t="str">
        <f>IF(AND($A87="Side",$F87=1),SUMPRODUCT(($A$2:$A87="Side")*($F$2:$F87=1)),"")</f>
        <v/>
      </c>
      <c r="K87" t="str">
        <f>IF(AND($A87="Drink",$F87=1),SUMPRODUCT(($A$2:$A87="Drink")*($F$2:$F87=1)),"")</f>
        <v/>
      </c>
      <c r="L87" t="str">
        <f>IF($F87=1,SUMPRODUCT(($F$2:$F87=1)*1),"")</f>
        <v/>
      </c>
    </row>
    <row r="88" spans="7:12">
      <c r="G88" t="str">
        <f>IF(AND($A88="Starter",$F88=1),SUMPRODUCT(($A$2:$A88="Starter")*($F$2:$F88=1)),"")</f>
        <v/>
      </c>
      <c r="H88" t="str">
        <f>IF(AND($A88="Main",$F88=1),SUMPRODUCT(($A$2:$A88="Main")*($F$2:$F88=1)),"")</f>
        <v/>
      </c>
      <c r="I88" t="str">
        <f>IF(AND($A88="Dessert",$F88=1),SUMPRODUCT(($A$2:$A88="Dessert")*($F$2:$F88=1)),"")</f>
        <v/>
      </c>
      <c r="J88" t="str">
        <f>IF(AND($A88="Side",$F88=1),SUMPRODUCT(($A$2:$A88="Side")*($F$2:$F88=1)),"")</f>
        <v/>
      </c>
      <c r="K88" t="str">
        <f>IF(AND($A88="Drink",$F88=1),SUMPRODUCT(($A$2:$A88="Drink")*($F$2:$F88=1)),"")</f>
        <v/>
      </c>
      <c r="L88" t="str">
        <f>IF($F88=1,SUMPRODUCT(($F$2:$F88=1)*1),"")</f>
        <v/>
      </c>
    </row>
    <row r="89" spans="7:12">
      <c r="G89" t="str">
        <f>IF(AND($A89="Starter",$F89=1),SUMPRODUCT(($A$2:$A89="Starter")*($F$2:$F89=1)),"")</f>
        <v/>
      </c>
      <c r="H89" t="str">
        <f>IF(AND($A89="Main",$F89=1),SUMPRODUCT(($A$2:$A89="Main")*($F$2:$F89=1)),"")</f>
        <v/>
      </c>
      <c r="I89" t="str">
        <f>IF(AND($A89="Dessert",$F89=1),SUMPRODUCT(($A$2:$A89="Dessert")*($F$2:$F89=1)),"")</f>
        <v/>
      </c>
      <c r="J89" t="str">
        <f>IF(AND($A89="Side",$F89=1),SUMPRODUCT(($A$2:$A89="Side")*($F$2:$F89=1)),"")</f>
        <v/>
      </c>
      <c r="K89" t="str">
        <f>IF(AND($A89="Drink",$F89=1),SUMPRODUCT(($A$2:$A89="Drink")*($F$2:$F89=1)),"")</f>
        <v/>
      </c>
      <c r="L89" t="str">
        <f>IF($F89=1,SUMPRODUCT(($F$2:$F89=1)*1),"")</f>
        <v/>
      </c>
    </row>
    <row r="90" spans="7:12">
      <c r="G90" t="str">
        <f>IF(AND($A90="Starter",$F90=1),SUMPRODUCT(($A$2:$A90="Starter")*($F$2:$F90=1)),"")</f>
        <v/>
      </c>
      <c r="H90" t="str">
        <f>IF(AND($A90="Main",$F90=1),SUMPRODUCT(($A$2:$A90="Main")*($F$2:$F90=1)),"")</f>
        <v/>
      </c>
      <c r="I90" t="str">
        <f>IF(AND($A90="Dessert",$F90=1),SUMPRODUCT(($A$2:$A90="Dessert")*($F$2:$F90=1)),"")</f>
        <v/>
      </c>
      <c r="J90" t="str">
        <f>IF(AND($A90="Side",$F90=1),SUMPRODUCT(($A$2:$A90="Side")*($F$2:$F90=1)),"")</f>
        <v/>
      </c>
      <c r="K90" t="str">
        <f>IF(AND($A90="Drink",$F90=1),SUMPRODUCT(($A$2:$A90="Drink")*($F$2:$F90=1)),"")</f>
        <v/>
      </c>
      <c r="L90" t="str">
        <f>IF($F90=1,SUMPRODUCT(($F$2:$F90=1)*1),"")</f>
        <v/>
      </c>
    </row>
    <row r="91" spans="7:12">
      <c r="G91" t="str">
        <f>IF(AND($A91="Starter",$F91=1),SUMPRODUCT(($A$2:$A91="Starter")*($F$2:$F91=1)),"")</f>
        <v/>
      </c>
      <c r="H91" t="str">
        <f>IF(AND($A91="Main",$F91=1),SUMPRODUCT(($A$2:$A91="Main")*($F$2:$F91=1)),"")</f>
        <v/>
      </c>
      <c r="I91" t="str">
        <f>IF(AND($A91="Dessert",$F91=1),SUMPRODUCT(($A$2:$A91="Dessert")*($F$2:$F91=1)),"")</f>
        <v/>
      </c>
      <c r="J91" t="str">
        <f>IF(AND($A91="Side",$F91=1),SUMPRODUCT(($A$2:$A91="Side")*($F$2:$F91=1)),"")</f>
        <v/>
      </c>
      <c r="K91" t="str">
        <f>IF(AND($A91="Drink",$F91=1),SUMPRODUCT(($A$2:$A91="Drink")*($F$2:$F91=1)),"")</f>
        <v/>
      </c>
      <c r="L91" t="str">
        <f>IF($F91=1,SUMPRODUCT(($F$2:$F91=1)*1),"")</f>
        <v/>
      </c>
    </row>
    <row r="92" spans="7:12">
      <c r="G92" t="str">
        <f>IF(AND($A92="Starter",$F92=1),SUMPRODUCT(($A$2:$A92="Starter")*($F$2:$F92=1)),"")</f>
        <v/>
      </c>
      <c r="H92" t="str">
        <f>IF(AND($A92="Main",$F92=1),SUMPRODUCT(($A$2:$A92="Main")*($F$2:$F92=1)),"")</f>
        <v/>
      </c>
      <c r="I92" t="str">
        <f>IF(AND($A92="Dessert",$F92=1),SUMPRODUCT(($A$2:$A92="Dessert")*($F$2:$F92=1)),"")</f>
        <v/>
      </c>
      <c r="J92" t="str">
        <f>IF(AND($A92="Side",$F92=1),SUMPRODUCT(($A$2:$A92="Side")*($F$2:$F92=1)),"")</f>
        <v/>
      </c>
      <c r="K92" t="str">
        <f>IF(AND($A92="Drink",$F92=1),SUMPRODUCT(($A$2:$A92="Drink")*($F$2:$F92=1)),"")</f>
        <v/>
      </c>
      <c r="L92" t="str">
        <f>IF($F92=1,SUMPRODUCT(($F$2:$F92=1)*1),"")</f>
        <v/>
      </c>
    </row>
    <row r="93" spans="7:12">
      <c r="G93" t="str">
        <f>IF(AND($A93="Starter",$F93=1),SUMPRODUCT(($A$2:$A93="Starter")*($F$2:$F93=1)),"")</f>
        <v/>
      </c>
      <c r="H93" t="str">
        <f>IF(AND($A93="Main",$F93=1),SUMPRODUCT(($A$2:$A93="Main")*($F$2:$F93=1)),"")</f>
        <v/>
      </c>
      <c r="I93" t="str">
        <f>IF(AND($A93="Dessert",$F93=1),SUMPRODUCT(($A$2:$A93="Dessert")*($F$2:$F93=1)),"")</f>
        <v/>
      </c>
      <c r="J93" t="str">
        <f>IF(AND($A93="Side",$F93=1),SUMPRODUCT(($A$2:$A93="Side")*($F$2:$F93=1)),"")</f>
        <v/>
      </c>
      <c r="K93" t="str">
        <f>IF(AND($A93="Drink",$F93=1),SUMPRODUCT(($A$2:$A93="Drink")*($F$2:$F93=1)),"")</f>
        <v/>
      </c>
      <c r="L93" t="str">
        <f>IF($F93=1,SUMPRODUCT(($F$2:$F93=1)*1),"")</f>
        <v/>
      </c>
    </row>
    <row r="94" spans="7:12">
      <c r="G94" t="str">
        <f>IF(AND($A94="Starter",$F94=1),SUMPRODUCT(($A$2:$A94="Starter")*($F$2:$F94=1)),"")</f>
        <v/>
      </c>
      <c r="H94" t="str">
        <f>IF(AND($A94="Main",$F94=1),SUMPRODUCT(($A$2:$A94="Main")*($F$2:$F94=1)),"")</f>
        <v/>
      </c>
      <c r="I94" t="str">
        <f>IF(AND($A94="Dessert",$F94=1),SUMPRODUCT(($A$2:$A94="Dessert")*($F$2:$F94=1)),"")</f>
        <v/>
      </c>
      <c r="J94" t="str">
        <f>IF(AND($A94="Side",$F94=1),SUMPRODUCT(($A$2:$A94="Side")*($F$2:$F94=1)),"")</f>
        <v/>
      </c>
      <c r="K94" t="str">
        <f>IF(AND($A94="Drink",$F94=1),SUMPRODUCT(($A$2:$A94="Drink")*($F$2:$F94=1)),"")</f>
        <v/>
      </c>
      <c r="L94" t="str">
        <f>IF($F94=1,SUMPRODUCT(($F$2:$F94=1)*1),"")</f>
        <v/>
      </c>
    </row>
    <row r="95" spans="7:12">
      <c r="G95" t="str">
        <f>IF(AND($A95="Starter",$F95=1),SUMPRODUCT(($A$2:$A95="Starter")*($F$2:$F95=1)),"")</f>
        <v/>
      </c>
      <c r="H95" t="str">
        <f>IF(AND($A95="Main",$F95=1),SUMPRODUCT(($A$2:$A95="Main")*($F$2:$F95=1)),"")</f>
        <v/>
      </c>
      <c r="I95" t="str">
        <f>IF(AND($A95="Dessert",$F95=1),SUMPRODUCT(($A$2:$A95="Dessert")*($F$2:$F95=1)),"")</f>
        <v/>
      </c>
      <c r="J95" t="str">
        <f>IF(AND($A95="Side",$F95=1),SUMPRODUCT(($A$2:$A95="Side")*($F$2:$F95=1)),"")</f>
        <v/>
      </c>
      <c r="K95" t="str">
        <f>IF(AND($A95="Drink",$F95=1),SUMPRODUCT(($A$2:$A95="Drink")*($F$2:$F95=1)),"")</f>
        <v/>
      </c>
      <c r="L95" t="str">
        <f>IF($F95=1,SUMPRODUCT(($F$2:$F95=1)*1),"")</f>
        <v/>
      </c>
    </row>
    <row r="96" spans="7:12">
      <c r="G96" t="str">
        <f>IF(AND($A96="Starter",$F96=1),SUMPRODUCT(($A$2:$A96="Starter")*($F$2:$F96=1)),"")</f>
        <v/>
      </c>
      <c r="H96" t="str">
        <f>IF(AND($A96="Main",$F96=1),SUMPRODUCT(($A$2:$A96="Main")*($F$2:$F96=1)),"")</f>
        <v/>
      </c>
      <c r="I96" t="str">
        <f>IF(AND($A96="Dessert",$F96=1),SUMPRODUCT(($A$2:$A96="Dessert")*($F$2:$F96=1)),"")</f>
        <v/>
      </c>
      <c r="J96" t="str">
        <f>IF(AND($A96="Side",$F96=1),SUMPRODUCT(($A$2:$A96="Side")*($F$2:$F96=1)),"")</f>
        <v/>
      </c>
      <c r="K96" t="str">
        <f>IF(AND($A96="Drink",$F96=1),SUMPRODUCT(($A$2:$A96="Drink")*($F$2:$F96=1)),"")</f>
        <v/>
      </c>
      <c r="L96" t="str">
        <f>IF($F96=1,SUMPRODUCT(($F$2:$F96=1)*1),"")</f>
        <v/>
      </c>
    </row>
    <row r="97" spans="7:12">
      <c r="G97" t="str">
        <f>IF(AND($A97="Starter",$F97=1),SUMPRODUCT(($A$2:$A97="Starter")*($F$2:$F97=1)),"")</f>
        <v/>
      </c>
      <c r="H97" t="str">
        <f>IF(AND($A97="Main",$F97=1),SUMPRODUCT(($A$2:$A97="Main")*($F$2:$F97=1)),"")</f>
        <v/>
      </c>
      <c r="I97" t="str">
        <f>IF(AND($A97="Dessert",$F97=1),SUMPRODUCT(($A$2:$A97="Dessert")*($F$2:$F97=1)),"")</f>
        <v/>
      </c>
      <c r="J97" t="str">
        <f>IF(AND($A97="Side",$F97=1),SUMPRODUCT(($A$2:$A97="Side")*($F$2:$F97=1)),"")</f>
        <v/>
      </c>
      <c r="K97" t="str">
        <f>IF(AND($A97="Drink",$F97=1),SUMPRODUCT(($A$2:$A97="Drink")*($F$2:$F97=1)),"")</f>
        <v/>
      </c>
      <c r="L97" t="str">
        <f>IF($F97=1,SUMPRODUCT(($F$2:$F97=1)*1),"")</f>
        <v/>
      </c>
    </row>
    <row r="98" spans="7:12">
      <c r="G98" t="str">
        <f>IF(AND($A98="Starter",$F98=1),SUMPRODUCT(($A$2:$A98="Starter")*($F$2:$F98=1)),"")</f>
        <v/>
      </c>
      <c r="H98" t="str">
        <f>IF(AND($A98="Main",$F98=1),SUMPRODUCT(($A$2:$A98="Main")*($F$2:$F98=1)),"")</f>
        <v/>
      </c>
      <c r="I98" t="str">
        <f>IF(AND($A98="Dessert",$F98=1),SUMPRODUCT(($A$2:$A98="Dessert")*($F$2:$F98=1)),"")</f>
        <v/>
      </c>
      <c r="J98" t="str">
        <f>IF(AND($A98="Side",$F98=1),SUMPRODUCT(($A$2:$A98="Side")*($F$2:$F98=1)),"")</f>
        <v/>
      </c>
      <c r="K98" t="str">
        <f>IF(AND($A98="Drink",$F98=1),SUMPRODUCT(($A$2:$A98="Drink")*($F$2:$F98=1)),"")</f>
        <v/>
      </c>
      <c r="L98" t="str">
        <f>IF($F98=1,SUMPRODUCT(($F$2:$F98=1)*1),"")</f>
        <v/>
      </c>
    </row>
    <row r="99" spans="7:12">
      <c r="G99" t="str">
        <f>IF(AND($A99="Starter",$F99=1),SUMPRODUCT(($A$2:$A99="Starter")*($F$2:$F99=1)),"")</f>
        <v/>
      </c>
      <c r="H99" t="str">
        <f>IF(AND($A99="Main",$F99=1),SUMPRODUCT(($A$2:$A99="Main")*($F$2:$F99=1)),"")</f>
        <v/>
      </c>
      <c r="I99" t="str">
        <f>IF(AND($A99="Dessert",$F99=1),SUMPRODUCT(($A$2:$A99="Dessert")*($F$2:$F99=1)),"")</f>
        <v/>
      </c>
      <c r="J99" t="str">
        <f>IF(AND($A99="Side",$F99=1),SUMPRODUCT(($A$2:$A99="Side")*($F$2:$F99=1)),"")</f>
        <v/>
      </c>
      <c r="K99" t="str">
        <f>IF(AND($A99="Drink",$F99=1),SUMPRODUCT(($A$2:$A99="Drink")*($F$2:$F99=1)),"")</f>
        <v/>
      </c>
      <c r="L99" t="str">
        <f>IF($F99=1,SUMPRODUCT(($F$2:$F99=1)*1),"")</f>
        <v/>
      </c>
    </row>
    <row r="100" spans="7:12">
      <c r="G100" t="str">
        <f>IF(AND($A100="Starter",$F100=1),SUMPRODUCT(($A$2:$A100="Starter")*($F$2:$F100=1)),"")</f>
        <v/>
      </c>
      <c r="H100" t="str">
        <f>IF(AND($A100="Main",$F100=1),SUMPRODUCT(($A$2:$A100="Main")*($F$2:$F100=1)),"")</f>
        <v/>
      </c>
      <c r="I100" t="str">
        <f>IF(AND($A100="Dessert",$F100=1),SUMPRODUCT(($A$2:$A100="Dessert")*($F$2:$F100=1)),"")</f>
        <v/>
      </c>
      <c r="J100" t="str">
        <f>IF(AND($A100="Side",$F100=1),SUMPRODUCT(($A$2:$A100="Side")*($F$2:$F100=1)),"")</f>
        <v/>
      </c>
      <c r="K100" t="str">
        <f>IF(AND($A100="Drink",$F100=1),SUMPRODUCT(($A$2:$A100="Drink")*($F$2:$F100=1)),"")</f>
        <v/>
      </c>
      <c r="L100" t="str">
        <f>IF($F100=1,SUMPRODUCT(($F$2:$F100=1)*1),"")</f>
        <v/>
      </c>
    </row>
    <row r="101" spans="7:12">
      <c r="G101" t="str">
        <f>IF(AND($A101="Starter",$F101=1),SUMPRODUCT(($A$2:$A101="Starter")*($F$2:$F101=1)),"")</f>
        <v/>
      </c>
      <c r="H101" t="str">
        <f>IF(AND($A101="Main",$F101=1),SUMPRODUCT(($A$2:$A101="Main")*($F$2:$F101=1)),"")</f>
        <v/>
      </c>
      <c r="I101" t="str">
        <f>IF(AND($A101="Dessert",$F101=1),SUMPRODUCT(($A$2:$A101="Dessert")*($F$2:$F101=1)),"")</f>
        <v/>
      </c>
      <c r="J101" t="str">
        <f>IF(AND($A101="Side",$F101=1),SUMPRODUCT(($A$2:$A101="Side")*($F$2:$F101=1)),"")</f>
        <v/>
      </c>
      <c r="K101" t="str">
        <f>IF(AND($A101="Drink",$F101=1),SUMPRODUCT(($A$2:$A101="Drink")*($F$2:$F101=1)),"")</f>
        <v/>
      </c>
      <c r="L101" t="str">
        <f>IF($F101=1,SUMPRODUCT(($F$2:$F101=1)*1),"")</f>
        <v/>
      </c>
    </row>
    <row r="102" spans="7:12">
      <c r="G102" t="str">
        <f>IF(AND($A102="Starter",$F102=1),SUMPRODUCT(($A$2:$A102="Starter")*($F$2:$F102=1)),"")</f>
        <v/>
      </c>
      <c r="H102" t="str">
        <f>IF(AND($A102="Main",$F102=1),SUMPRODUCT(($A$2:$A102="Main")*($F$2:$F102=1)),"")</f>
        <v/>
      </c>
      <c r="I102" t="str">
        <f>IF(AND($A102="Dessert",$F102=1),SUMPRODUCT(($A$2:$A102="Dessert")*($F$2:$F102=1)),"")</f>
        <v/>
      </c>
      <c r="J102" t="str">
        <f>IF(AND($A102="Side",$F102=1),SUMPRODUCT(($A$2:$A102="Side")*($F$2:$F102=1)),"")</f>
        <v/>
      </c>
      <c r="K102" t="str">
        <f>IF(AND($A102="Drink",$F102=1),SUMPRODUCT(($A$2:$A102="Drink")*($F$2:$F102=1)),"")</f>
        <v/>
      </c>
      <c r="L102" t="str">
        <f>IF($F102=1,SUMPRODUCT(($F$2:$F102=1)*1),"")</f>
        <v/>
      </c>
    </row>
    <row r="103" spans="7:12">
      <c r="G103" t="str">
        <f>IF(AND($A103="Starter",$F103=1),SUMPRODUCT(($A$2:$A103="Starter")*($F$2:$F103=1)),"")</f>
        <v/>
      </c>
      <c r="H103" t="str">
        <f>IF(AND($A103="Main",$F103=1),SUMPRODUCT(($A$2:$A103="Main")*($F$2:$F103=1)),"")</f>
        <v/>
      </c>
      <c r="I103" t="str">
        <f>IF(AND($A103="Dessert",$F103=1),SUMPRODUCT(($A$2:$A103="Dessert")*($F$2:$F103=1)),"")</f>
        <v/>
      </c>
      <c r="J103" t="str">
        <f>IF(AND($A103="Side",$F103=1),SUMPRODUCT(($A$2:$A103="Side")*($F$2:$F103=1)),"")</f>
        <v/>
      </c>
      <c r="K103" t="str">
        <f>IF(AND($A103="Drink",$F103=1),SUMPRODUCT(($A$2:$A103="Drink")*($F$2:$F103=1)),"")</f>
        <v/>
      </c>
      <c r="L103" t="str">
        <f>IF($F103=1,SUMPRODUCT(($F$2:$F103=1)*1),"")</f>
        <v/>
      </c>
    </row>
    <row r="104" spans="7:12">
      <c r="G104" t="str">
        <f>IF(AND($A104="Starter",$F104=1),SUMPRODUCT(($A$2:$A104="Starter")*($F$2:$F104=1)),"")</f>
        <v/>
      </c>
      <c r="H104" t="str">
        <f>IF(AND($A104="Main",$F104=1),SUMPRODUCT(($A$2:$A104="Main")*($F$2:$F104=1)),"")</f>
        <v/>
      </c>
      <c r="I104" t="str">
        <f>IF(AND($A104="Dessert",$F104=1),SUMPRODUCT(($A$2:$A104="Dessert")*($F$2:$F104=1)),"")</f>
        <v/>
      </c>
      <c r="J104" t="str">
        <f>IF(AND($A104="Side",$F104=1),SUMPRODUCT(($A$2:$A104="Side")*($F$2:$F104=1)),"")</f>
        <v/>
      </c>
      <c r="K104" t="str">
        <f>IF(AND($A104="Drink",$F104=1),SUMPRODUCT(($A$2:$A104="Drink")*($F$2:$F104=1)),"")</f>
        <v/>
      </c>
      <c r="L104" t="str">
        <f>IF($F104=1,SUMPRODUCT(($F$2:$F104=1)*1),"")</f>
        <v/>
      </c>
    </row>
    <row r="105" spans="7:12">
      <c r="G105" t="str">
        <f>IF(AND($A105="Starter",$F105=1),SUMPRODUCT(($A$2:$A105="Starter")*($F$2:$F105=1)),"")</f>
        <v/>
      </c>
      <c r="H105" t="str">
        <f>IF(AND($A105="Main",$F105=1),SUMPRODUCT(($A$2:$A105="Main")*($F$2:$F105=1)),"")</f>
        <v/>
      </c>
      <c r="I105" t="str">
        <f>IF(AND($A105="Dessert",$F105=1),SUMPRODUCT(($A$2:$A105="Dessert")*($F$2:$F105=1)),"")</f>
        <v/>
      </c>
      <c r="J105" t="str">
        <f>IF(AND($A105="Side",$F105=1),SUMPRODUCT(($A$2:$A105="Side")*($F$2:$F105=1)),"")</f>
        <v/>
      </c>
      <c r="K105" t="str">
        <f>IF(AND($A105="Drink",$F105=1),SUMPRODUCT(($A$2:$A105="Drink")*($F$2:$F105=1)),"")</f>
        <v/>
      </c>
      <c r="L105" t="str">
        <f>IF($F105=1,SUMPRODUCT(($F$2:$F105=1)*1),"")</f>
        <v/>
      </c>
    </row>
    <row r="106" spans="7:12">
      <c r="G106" t="str">
        <f>IF(AND($A106="Starter",$F106=1),SUMPRODUCT(($A$2:$A106="Starter")*($F$2:$F106=1)),"")</f>
        <v/>
      </c>
      <c r="H106" t="str">
        <f>IF(AND($A106="Main",$F106=1),SUMPRODUCT(($A$2:$A106="Main")*($F$2:$F106=1)),"")</f>
        <v/>
      </c>
      <c r="I106" t="str">
        <f>IF(AND($A106="Dessert",$F106=1),SUMPRODUCT(($A$2:$A106="Dessert")*($F$2:$F106=1)),"")</f>
        <v/>
      </c>
      <c r="J106" t="str">
        <f>IF(AND($A106="Side",$F106=1),SUMPRODUCT(($A$2:$A106="Side")*($F$2:$F106=1)),"")</f>
        <v/>
      </c>
      <c r="K106" t="str">
        <f>IF(AND($A106="Drink",$F106=1),SUMPRODUCT(($A$2:$A106="Drink")*($F$2:$F106=1)),"")</f>
        <v/>
      </c>
      <c r="L106" t="str">
        <f>IF($F106=1,SUMPRODUCT(($F$2:$F106=1)*1),"")</f>
        <v/>
      </c>
    </row>
    <row r="107" spans="7:12">
      <c r="G107" t="str">
        <f>IF(AND($A107="Starter",$F107=1),SUMPRODUCT(($A$2:$A107="Starter")*($F$2:$F107=1)),"")</f>
        <v/>
      </c>
      <c r="H107" t="str">
        <f>IF(AND($A107="Main",$F107=1),SUMPRODUCT(($A$2:$A107="Main")*($F$2:$F107=1)),"")</f>
        <v/>
      </c>
      <c r="I107" t="str">
        <f>IF(AND($A107="Dessert",$F107=1),SUMPRODUCT(($A$2:$A107="Dessert")*($F$2:$F107=1)),"")</f>
        <v/>
      </c>
      <c r="J107" t="str">
        <f>IF(AND($A107="Side",$F107=1),SUMPRODUCT(($A$2:$A107="Side")*($F$2:$F107=1)),"")</f>
        <v/>
      </c>
      <c r="K107" t="str">
        <f>IF(AND($A107="Drink",$F107=1),SUMPRODUCT(($A$2:$A107="Drink")*($F$2:$F107=1)),"")</f>
        <v/>
      </c>
      <c r="L107" t="str">
        <f>IF($F107=1,SUMPRODUCT(($F$2:$F107=1)*1),"")</f>
        <v/>
      </c>
    </row>
    <row r="108" spans="7:12">
      <c r="G108" t="str">
        <f>IF(AND($A108="Starter",$F108=1),SUMPRODUCT(($A$2:$A108="Starter")*($F$2:$F108=1)),"")</f>
        <v/>
      </c>
      <c r="H108" t="str">
        <f>IF(AND($A108="Main",$F108=1),SUMPRODUCT(($A$2:$A108="Main")*($F$2:$F108=1)),"")</f>
        <v/>
      </c>
      <c r="I108" t="str">
        <f>IF(AND($A108="Dessert",$F108=1),SUMPRODUCT(($A$2:$A108="Dessert")*($F$2:$F108=1)),"")</f>
        <v/>
      </c>
      <c r="J108" t="str">
        <f>IF(AND($A108="Side",$F108=1),SUMPRODUCT(($A$2:$A108="Side")*($F$2:$F108=1)),"")</f>
        <v/>
      </c>
      <c r="K108" t="str">
        <f>IF(AND($A108="Drink",$F108=1),SUMPRODUCT(($A$2:$A108="Drink")*($F$2:$F108=1)),"")</f>
        <v/>
      </c>
      <c r="L108" t="str">
        <f>IF($F108=1,SUMPRODUCT(($F$2:$F108=1)*1),"")</f>
        <v/>
      </c>
    </row>
    <row r="109" spans="7:12">
      <c r="G109" t="str">
        <f>IF(AND($A109="Starter",$F109=1),SUMPRODUCT(($A$2:$A109="Starter")*($F$2:$F109=1)),"")</f>
        <v/>
      </c>
      <c r="H109" t="str">
        <f>IF(AND($A109="Main",$F109=1),SUMPRODUCT(($A$2:$A109="Main")*($F$2:$F109=1)),"")</f>
        <v/>
      </c>
      <c r="I109" t="str">
        <f>IF(AND($A109="Dessert",$F109=1),SUMPRODUCT(($A$2:$A109="Dessert")*($F$2:$F109=1)),"")</f>
        <v/>
      </c>
      <c r="J109" t="str">
        <f>IF(AND($A109="Side",$F109=1),SUMPRODUCT(($A$2:$A109="Side")*($F$2:$F109=1)),"")</f>
        <v/>
      </c>
      <c r="K109" t="str">
        <f>IF(AND($A109="Drink",$F109=1),SUMPRODUCT(($A$2:$A109="Drink")*($F$2:$F109=1)),"")</f>
        <v/>
      </c>
      <c r="L109" t="str">
        <f>IF($F109=1,SUMPRODUCT(($F$2:$F109=1)*1),"")</f>
        <v/>
      </c>
    </row>
    <row r="110" spans="7:12">
      <c r="G110" t="str">
        <f>IF(AND($A110="Starter",$F110=1),SUMPRODUCT(($A$2:$A110="Starter")*($F$2:$F110=1)),"")</f>
        <v/>
      </c>
      <c r="H110" t="str">
        <f>IF(AND($A110="Main",$F110=1),SUMPRODUCT(($A$2:$A110="Main")*($F$2:$F110=1)),"")</f>
        <v/>
      </c>
      <c r="I110" t="str">
        <f>IF(AND($A110="Dessert",$F110=1),SUMPRODUCT(($A$2:$A110="Dessert")*($F$2:$F110=1)),"")</f>
        <v/>
      </c>
      <c r="J110" t="str">
        <f>IF(AND($A110="Side",$F110=1),SUMPRODUCT(($A$2:$A110="Side")*($F$2:$F110=1)),"")</f>
        <v/>
      </c>
      <c r="K110" t="str">
        <f>IF(AND($A110="Drink",$F110=1),SUMPRODUCT(($A$2:$A110="Drink")*($F$2:$F110=1)),"")</f>
        <v/>
      </c>
      <c r="L110" t="str">
        <f>IF($F110=1,SUMPRODUCT(($F$2:$F110=1)*1),"")</f>
        <v/>
      </c>
    </row>
    <row r="111" spans="7:12">
      <c r="G111" t="str">
        <f>IF(AND($A111="Starter",$F111=1),SUMPRODUCT(($A$2:$A111="Starter")*($F$2:$F111=1)),"")</f>
        <v/>
      </c>
      <c r="H111" t="str">
        <f>IF(AND($A111="Main",$F111=1),SUMPRODUCT(($A$2:$A111="Main")*($F$2:$F111=1)),"")</f>
        <v/>
      </c>
      <c r="I111" t="str">
        <f>IF(AND($A111="Dessert",$F111=1),SUMPRODUCT(($A$2:$A111="Dessert")*($F$2:$F111=1)),"")</f>
        <v/>
      </c>
      <c r="J111" t="str">
        <f>IF(AND($A111="Side",$F111=1),SUMPRODUCT(($A$2:$A111="Side")*($F$2:$F111=1)),"")</f>
        <v/>
      </c>
      <c r="K111" t="str">
        <f>IF(AND($A111="Drink",$F111=1),SUMPRODUCT(($A$2:$A111="Drink")*($F$2:$F111=1)),"")</f>
        <v/>
      </c>
      <c r="L111" t="str">
        <f>IF($F111=1,SUMPRODUCT(($F$2:$F111=1)*1),"")</f>
        <v/>
      </c>
    </row>
    <row r="112" spans="7:12">
      <c r="G112" t="str">
        <f>IF(AND($A112="Starter",$F112=1),SUMPRODUCT(($A$2:$A112="Starter")*($F$2:$F112=1)),"")</f>
        <v/>
      </c>
      <c r="H112" t="str">
        <f>IF(AND($A112="Main",$F112=1),SUMPRODUCT(($A$2:$A112="Main")*($F$2:$F112=1)),"")</f>
        <v/>
      </c>
      <c r="I112" t="str">
        <f>IF(AND($A112="Dessert",$F112=1),SUMPRODUCT(($A$2:$A112="Dessert")*($F$2:$F112=1)),"")</f>
        <v/>
      </c>
      <c r="J112" t="str">
        <f>IF(AND($A112="Side",$F112=1),SUMPRODUCT(($A$2:$A112="Side")*($F$2:$F112=1)),"")</f>
        <v/>
      </c>
      <c r="K112" t="str">
        <f>IF(AND($A112="Drink",$F112=1),SUMPRODUCT(($A$2:$A112="Drink")*($F$2:$F112=1)),"")</f>
        <v/>
      </c>
      <c r="L112" t="str">
        <f>IF($F112=1,SUMPRODUCT(($F$2:$F112=1)*1),"")</f>
        <v/>
      </c>
    </row>
    <row r="113" spans="7:12">
      <c r="G113" t="str">
        <f>IF(AND($A113="Starter",$F113=1),SUMPRODUCT(($A$2:$A113="Starter")*($F$2:$F113=1)),"")</f>
        <v/>
      </c>
      <c r="H113" t="str">
        <f>IF(AND($A113="Main",$F113=1),SUMPRODUCT(($A$2:$A113="Main")*($F$2:$F113=1)),"")</f>
        <v/>
      </c>
      <c r="I113" t="str">
        <f>IF(AND($A113="Dessert",$F113=1),SUMPRODUCT(($A$2:$A113="Dessert")*($F$2:$F113=1)),"")</f>
        <v/>
      </c>
      <c r="J113" t="str">
        <f>IF(AND($A113="Side",$F113=1),SUMPRODUCT(($A$2:$A113="Side")*($F$2:$F113=1)),"")</f>
        <v/>
      </c>
      <c r="K113" t="str">
        <f>IF(AND($A113="Drink",$F113=1),SUMPRODUCT(($A$2:$A113="Drink")*($F$2:$F113=1)),"")</f>
        <v/>
      </c>
      <c r="L113" t="str">
        <f>IF($F113=1,SUMPRODUCT(($F$2:$F113=1)*1),"")</f>
        <v/>
      </c>
    </row>
    <row r="114" spans="7:12">
      <c r="G114" t="str">
        <f>IF(AND($A114="Starter",$F114=1),SUMPRODUCT(($A$2:$A114="Starter")*($F$2:$F114=1)),"")</f>
        <v/>
      </c>
      <c r="H114" t="str">
        <f>IF(AND($A114="Main",$F114=1),SUMPRODUCT(($A$2:$A114="Main")*($F$2:$F114=1)),"")</f>
        <v/>
      </c>
      <c r="I114" t="str">
        <f>IF(AND($A114="Dessert",$F114=1),SUMPRODUCT(($A$2:$A114="Dessert")*($F$2:$F114=1)),"")</f>
        <v/>
      </c>
      <c r="J114" t="str">
        <f>IF(AND($A114="Side",$F114=1),SUMPRODUCT(($A$2:$A114="Side")*($F$2:$F114=1)),"")</f>
        <v/>
      </c>
      <c r="K114" t="str">
        <f>IF(AND($A114="Drink",$F114=1),SUMPRODUCT(($A$2:$A114="Drink")*($F$2:$F114=1)),"")</f>
        <v/>
      </c>
      <c r="L114" t="str">
        <f>IF($F114=1,SUMPRODUCT(($F$2:$F114=1)*1),"")</f>
        <v/>
      </c>
    </row>
    <row r="115" spans="7:12">
      <c r="G115" t="str">
        <f>IF(AND($A115="Starter",$F115=1),SUMPRODUCT(($A$2:$A115="Starter")*($F$2:$F115=1)),"")</f>
        <v/>
      </c>
      <c r="H115" t="str">
        <f>IF(AND($A115="Main",$F115=1),SUMPRODUCT(($A$2:$A115="Main")*($F$2:$F115=1)),"")</f>
        <v/>
      </c>
      <c r="I115" t="str">
        <f>IF(AND($A115="Dessert",$F115=1),SUMPRODUCT(($A$2:$A115="Dessert")*($F$2:$F115=1)),"")</f>
        <v/>
      </c>
      <c r="J115" t="str">
        <f>IF(AND($A115="Side",$F115=1),SUMPRODUCT(($A$2:$A115="Side")*($F$2:$F115=1)),"")</f>
        <v/>
      </c>
      <c r="K115" t="str">
        <f>IF(AND($A115="Drink",$F115=1),SUMPRODUCT(($A$2:$A115="Drink")*($F$2:$F115=1)),"")</f>
        <v/>
      </c>
      <c r="L115" t="str">
        <f>IF($F115=1,SUMPRODUCT(($F$2:$F115=1)*1),"")</f>
        <v/>
      </c>
    </row>
    <row r="116" spans="7:12">
      <c r="G116" t="str">
        <f>IF(AND($A116="Starter",$F116=1),SUMPRODUCT(($A$2:$A116="Starter")*($F$2:$F116=1)),"")</f>
        <v/>
      </c>
      <c r="H116" t="str">
        <f>IF(AND($A116="Main",$F116=1),SUMPRODUCT(($A$2:$A116="Main")*($F$2:$F116=1)),"")</f>
        <v/>
      </c>
      <c r="I116" t="str">
        <f>IF(AND($A116="Dessert",$F116=1),SUMPRODUCT(($A$2:$A116="Dessert")*($F$2:$F116=1)),"")</f>
        <v/>
      </c>
      <c r="J116" t="str">
        <f>IF(AND($A116="Side",$F116=1),SUMPRODUCT(($A$2:$A116="Side")*($F$2:$F116=1)),"")</f>
        <v/>
      </c>
      <c r="K116" t="str">
        <f>IF(AND($A116="Drink",$F116=1),SUMPRODUCT(($A$2:$A116="Drink")*($F$2:$F116=1)),"")</f>
        <v/>
      </c>
      <c r="L116" t="str">
        <f>IF($F116=1,SUMPRODUCT(($F$2:$F116=1)*1),"")</f>
        <v/>
      </c>
    </row>
    <row r="117" spans="7:12">
      <c r="G117" t="str">
        <f>IF(AND($A117="Starter",$F117=1),SUMPRODUCT(($A$2:$A117="Starter")*($F$2:$F117=1)),"")</f>
        <v/>
      </c>
      <c r="H117" t="str">
        <f>IF(AND($A117="Main",$F117=1),SUMPRODUCT(($A$2:$A117="Main")*($F$2:$F117=1)),"")</f>
        <v/>
      </c>
      <c r="I117" t="str">
        <f>IF(AND($A117="Dessert",$F117=1),SUMPRODUCT(($A$2:$A117="Dessert")*($F$2:$F117=1)),"")</f>
        <v/>
      </c>
      <c r="J117" t="str">
        <f>IF(AND($A117="Side",$F117=1),SUMPRODUCT(($A$2:$A117="Side")*($F$2:$F117=1)),"")</f>
        <v/>
      </c>
      <c r="K117" t="str">
        <f>IF(AND($A117="Drink",$F117=1),SUMPRODUCT(($A$2:$A117="Drink")*($F$2:$F117=1)),"")</f>
        <v/>
      </c>
      <c r="L117" t="str">
        <f>IF($F117=1,SUMPRODUCT(($F$2:$F117=1)*1),"")</f>
        <v/>
      </c>
    </row>
    <row r="118" spans="7:12">
      <c r="G118" t="str">
        <f>IF(AND($A118="Starter",$F118=1),SUMPRODUCT(($A$2:$A118="Starter")*($F$2:$F118=1)),"")</f>
        <v/>
      </c>
      <c r="H118" t="str">
        <f>IF(AND($A118="Main",$F118=1),SUMPRODUCT(($A$2:$A118="Main")*($F$2:$F118=1)),"")</f>
        <v/>
      </c>
      <c r="I118" t="str">
        <f>IF(AND($A118="Dessert",$F118=1),SUMPRODUCT(($A$2:$A118="Dessert")*($F$2:$F118=1)),"")</f>
        <v/>
      </c>
      <c r="J118" t="str">
        <f>IF(AND($A118="Side",$F118=1),SUMPRODUCT(($A$2:$A118="Side")*($F$2:$F118=1)),"")</f>
        <v/>
      </c>
      <c r="K118" t="str">
        <f>IF(AND($A118="Drink",$F118=1),SUMPRODUCT(($A$2:$A118="Drink")*($F$2:$F118=1)),"")</f>
        <v/>
      </c>
      <c r="L118" t="str">
        <f>IF($F118=1,SUMPRODUCT(($F$2:$F118=1)*1),"")</f>
        <v/>
      </c>
    </row>
    <row r="119" spans="7:12">
      <c r="G119" t="str">
        <f>IF(AND($A119="Starter",$F119=1),SUMPRODUCT(($A$2:$A119="Starter")*($F$2:$F119=1)),"")</f>
        <v/>
      </c>
      <c r="H119" t="str">
        <f>IF(AND($A119="Main",$F119=1),SUMPRODUCT(($A$2:$A119="Main")*($F$2:$F119=1)),"")</f>
        <v/>
      </c>
      <c r="I119" t="str">
        <f>IF(AND($A119="Dessert",$F119=1),SUMPRODUCT(($A$2:$A119="Dessert")*($F$2:$F119=1)),"")</f>
        <v/>
      </c>
      <c r="J119" t="str">
        <f>IF(AND($A119="Side",$F119=1),SUMPRODUCT(($A$2:$A119="Side")*($F$2:$F119=1)),"")</f>
        <v/>
      </c>
      <c r="K119" t="str">
        <f>IF(AND($A119="Drink",$F119=1),SUMPRODUCT(($A$2:$A119="Drink")*($F$2:$F119=1)),"")</f>
        <v/>
      </c>
      <c r="L119" t="str">
        <f>IF($F119=1,SUMPRODUCT(($F$2:$F119=1)*1),"")</f>
        <v/>
      </c>
    </row>
    <row r="120" spans="7:12">
      <c r="G120" t="str">
        <f>IF(AND($A120="Starter",$F120=1),SUMPRODUCT(($A$2:$A120="Starter")*($F$2:$F120=1)),"")</f>
        <v/>
      </c>
      <c r="H120" t="str">
        <f>IF(AND($A120="Main",$F120=1),SUMPRODUCT(($A$2:$A120="Main")*($F$2:$F120=1)),"")</f>
        <v/>
      </c>
      <c r="I120" t="str">
        <f>IF(AND($A120="Dessert",$F120=1),SUMPRODUCT(($A$2:$A120="Dessert")*($F$2:$F120=1)),"")</f>
        <v/>
      </c>
      <c r="J120" t="str">
        <f>IF(AND($A120="Side",$F120=1),SUMPRODUCT(($A$2:$A120="Side")*($F$2:$F120=1)),"")</f>
        <v/>
      </c>
      <c r="K120" t="str">
        <f>IF(AND($A120="Drink",$F120=1),SUMPRODUCT(($A$2:$A120="Drink")*($F$2:$F120=1)),"")</f>
        <v/>
      </c>
      <c r="L120" t="str">
        <f>IF($F120=1,SUMPRODUCT(($F$2:$F120=1)*1),"")</f>
        <v/>
      </c>
    </row>
    <row r="121" spans="7:12">
      <c r="G121" t="str">
        <f>IF(AND($A121="Starter",$F121=1),SUMPRODUCT(($A$2:$A121="Starter")*($F$2:$F121=1)),"")</f>
        <v/>
      </c>
      <c r="H121" t="str">
        <f>IF(AND($A121="Main",$F121=1),SUMPRODUCT(($A$2:$A121="Main")*($F$2:$F121=1)),"")</f>
        <v/>
      </c>
      <c r="I121" t="str">
        <f>IF(AND($A121="Dessert",$F121=1),SUMPRODUCT(($A$2:$A121="Dessert")*($F$2:$F121=1)),"")</f>
        <v/>
      </c>
      <c r="J121" t="str">
        <f>IF(AND($A121="Side",$F121=1),SUMPRODUCT(($A$2:$A121="Side")*($F$2:$F121=1)),"")</f>
        <v/>
      </c>
      <c r="K121" t="str">
        <f>IF(AND($A121="Drink",$F121=1),SUMPRODUCT(($A$2:$A121="Drink")*($F$2:$F121=1)),"")</f>
        <v/>
      </c>
      <c r="L121" t="str">
        <f>IF($F121=1,SUMPRODUCT(($F$2:$F121=1)*1),"")</f>
        <v/>
      </c>
    </row>
    <row r="122" spans="7:12">
      <c r="G122" t="str">
        <f>IF(AND($A122="Starter",$F122=1),SUMPRODUCT(($A$2:$A122="Starter")*($F$2:$F122=1)),"")</f>
        <v/>
      </c>
      <c r="H122" t="str">
        <f>IF(AND($A122="Main",$F122=1),SUMPRODUCT(($A$2:$A122="Main")*($F$2:$F122=1)),"")</f>
        <v/>
      </c>
      <c r="I122" t="str">
        <f>IF(AND($A122="Dessert",$F122=1),SUMPRODUCT(($A$2:$A122="Dessert")*($F$2:$F122=1)),"")</f>
        <v/>
      </c>
      <c r="J122" t="str">
        <f>IF(AND($A122="Side",$F122=1),SUMPRODUCT(($A$2:$A122="Side")*($F$2:$F122=1)),"")</f>
        <v/>
      </c>
      <c r="K122" t="str">
        <f>IF(AND($A122="Drink",$F122=1),SUMPRODUCT(($A$2:$A122="Drink")*($F$2:$F122=1)),"")</f>
        <v/>
      </c>
      <c r="L122" t="str">
        <f>IF($F122=1,SUMPRODUCT(($F$2:$F122=1)*1),"")</f>
        <v/>
      </c>
    </row>
    <row r="123" spans="7:12">
      <c r="G123" t="str">
        <f>IF(AND($A123="Starter",$F123=1),SUMPRODUCT(($A$2:$A123="Starter")*($F$2:$F123=1)),"")</f>
        <v/>
      </c>
      <c r="H123" t="str">
        <f>IF(AND($A123="Main",$F123=1),SUMPRODUCT(($A$2:$A123="Main")*($F$2:$F123=1)),"")</f>
        <v/>
      </c>
      <c r="I123" t="str">
        <f>IF(AND($A123="Dessert",$F123=1),SUMPRODUCT(($A$2:$A123="Dessert")*($F$2:$F123=1)),"")</f>
        <v/>
      </c>
      <c r="J123" t="str">
        <f>IF(AND($A123="Side",$F123=1),SUMPRODUCT(($A$2:$A123="Side")*($F$2:$F123=1)),"")</f>
        <v/>
      </c>
      <c r="K123" t="str">
        <f>IF(AND($A123="Drink",$F123=1),SUMPRODUCT(($A$2:$A123="Drink")*($F$2:$F123=1)),"")</f>
        <v/>
      </c>
      <c r="L123" t="str">
        <f>IF($F123=1,SUMPRODUCT(($F$2:$F123=1)*1),"")</f>
        <v/>
      </c>
    </row>
    <row r="124" spans="7:12">
      <c r="G124" t="str">
        <f>IF(AND($A124="Starter",$F124=1),SUMPRODUCT(($A$2:$A124="Starter")*($F$2:$F124=1)),"")</f>
        <v/>
      </c>
      <c r="H124" t="str">
        <f>IF(AND($A124="Main",$F124=1),SUMPRODUCT(($A$2:$A124="Main")*($F$2:$F124=1)),"")</f>
        <v/>
      </c>
      <c r="I124" t="str">
        <f>IF(AND($A124="Dessert",$F124=1),SUMPRODUCT(($A$2:$A124="Dessert")*($F$2:$F124=1)),"")</f>
        <v/>
      </c>
      <c r="J124" t="str">
        <f>IF(AND($A124="Side",$F124=1),SUMPRODUCT(($A$2:$A124="Side")*($F$2:$F124=1)),"")</f>
        <v/>
      </c>
      <c r="K124" t="str">
        <f>IF(AND($A124="Drink",$F124=1),SUMPRODUCT(($A$2:$A124="Drink")*($F$2:$F124=1)),"")</f>
        <v/>
      </c>
      <c r="L124" t="str">
        <f>IF($F124=1,SUMPRODUCT(($F$2:$F124=1)*1),"")</f>
        <v/>
      </c>
    </row>
    <row r="125" spans="7:12">
      <c r="G125" t="str">
        <f>IF(AND($A125="Starter",$F125=1),SUMPRODUCT(($A$2:$A125="Starter")*($F$2:$F125=1)),"")</f>
        <v/>
      </c>
      <c r="H125" t="str">
        <f>IF(AND($A125="Main",$F125=1),SUMPRODUCT(($A$2:$A125="Main")*($F$2:$F125=1)),"")</f>
        <v/>
      </c>
      <c r="I125" t="str">
        <f>IF(AND($A125="Dessert",$F125=1),SUMPRODUCT(($A$2:$A125="Dessert")*($F$2:$F125=1)),"")</f>
        <v/>
      </c>
      <c r="J125" t="str">
        <f>IF(AND($A125="Side",$F125=1),SUMPRODUCT(($A$2:$A125="Side")*($F$2:$F125=1)),"")</f>
        <v/>
      </c>
      <c r="K125" t="str">
        <f>IF(AND($A125="Drink",$F125=1),SUMPRODUCT(($A$2:$A125="Drink")*($F$2:$F125=1)),"")</f>
        <v/>
      </c>
      <c r="L125" t="str">
        <f>IF($F125=1,SUMPRODUCT(($F$2:$F125=1)*1),"")</f>
        <v/>
      </c>
    </row>
    <row r="126" spans="7:12">
      <c r="G126" t="str">
        <f>IF(AND($A126="Starter",$F126=1),SUMPRODUCT(($A$2:$A126="Starter")*($F$2:$F126=1)),"")</f>
        <v/>
      </c>
      <c r="H126" t="str">
        <f>IF(AND($A126="Main",$F126=1),SUMPRODUCT(($A$2:$A126="Main")*($F$2:$F126=1)),"")</f>
        <v/>
      </c>
      <c r="I126" t="str">
        <f>IF(AND($A126="Dessert",$F126=1),SUMPRODUCT(($A$2:$A126="Dessert")*($F$2:$F126=1)),"")</f>
        <v/>
      </c>
      <c r="J126" t="str">
        <f>IF(AND($A126="Side",$F126=1),SUMPRODUCT(($A$2:$A126="Side")*($F$2:$F126=1)),"")</f>
        <v/>
      </c>
      <c r="K126" t="str">
        <f>IF(AND($A126="Drink",$F126=1),SUMPRODUCT(($A$2:$A126="Drink")*($F$2:$F126=1)),"")</f>
        <v/>
      </c>
      <c r="L126" t="str">
        <f>IF($F126=1,SUMPRODUCT(($F$2:$F126=1)*1),"")</f>
        <v/>
      </c>
    </row>
    <row r="127" spans="7:12">
      <c r="G127" t="str">
        <f>IF(AND($A127="Starter",$F127=1),SUMPRODUCT(($A$2:$A127="Starter")*($F$2:$F127=1)),"")</f>
        <v/>
      </c>
      <c r="H127" t="str">
        <f>IF(AND($A127="Main",$F127=1),SUMPRODUCT(($A$2:$A127="Main")*($F$2:$F127=1)),"")</f>
        <v/>
      </c>
      <c r="I127" t="str">
        <f>IF(AND($A127="Dessert",$F127=1),SUMPRODUCT(($A$2:$A127="Dessert")*($F$2:$F127=1)),"")</f>
        <v/>
      </c>
      <c r="J127" t="str">
        <f>IF(AND($A127="Side",$F127=1),SUMPRODUCT(($A$2:$A127="Side")*($F$2:$F127=1)),"")</f>
        <v/>
      </c>
      <c r="K127" t="str">
        <f>IF(AND($A127="Drink",$F127=1),SUMPRODUCT(($A$2:$A127="Drink")*($F$2:$F127=1)),"")</f>
        <v/>
      </c>
      <c r="L127" t="str">
        <f>IF($F127=1,SUMPRODUCT(($F$2:$F127=1)*1),"")</f>
        <v/>
      </c>
    </row>
    <row r="128" spans="7:12">
      <c r="G128" t="str">
        <f>IF(AND($A128="Starter",$F128=1),SUMPRODUCT(($A$2:$A128="Starter")*($F$2:$F128=1)),"")</f>
        <v/>
      </c>
      <c r="H128" t="str">
        <f>IF(AND($A128="Main",$F128=1),SUMPRODUCT(($A$2:$A128="Main")*($F$2:$F128=1)),"")</f>
        <v/>
      </c>
      <c r="I128" t="str">
        <f>IF(AND($A128="Dessert",$F128=1),SUMPRODUCT(($A$2:$A128="Dessert")*($F$2:$F128=1)),"")</f>
        <v/>
      </c>
      <c r="J128" t="str">
        <f>IF(AND($A128="Side",$F128=1),SUMPRODUCT(($A$2:$A128="Side")*($F$2:$F128=1)),"")</f>
        <v/>
      </c>
      <c r="K128" t="str">
        <f>IF(AND($A128="Drink",$F128=1),SUMPRODUCT(($A$2:$A128="Drink")*($F$2:$F128=1)),"")</f>
        <v/>
      </c>
      <c r="L128" t="str">
        <f>IF($F128=1,SUMPRODUCT(($F$2:$F128=1)*1),"")</f>
        <v/>
      </c>
    </row>
    <row r="129" spans="7:12">
      <c r="G129" t="str">
        <f>IF(AND($A129="Starter",$F129=1),SUMPRODUCT(($A$2:$A129="Starter")*($F$2:$F129=1)),"")</f>
        <v/>
      </c>
      <c r="H129" t="str">
        <f>IF(AND($A129="Main",$F129=1),SUMPRODUCT(($A$2:$A129="Main")*($F$2:$F129=1)),"")</f>
        <v/>
      </c>
      <c r="I129" t="str">
        <f>IF(AND($A129="Dessert",$F129=1),SUMPRODUCT(($A$2:$A129="Dessert")*($F$2:$F129=1)),"")</f>
        <v/>
      </c>
      <c r="J129" t="str">
        <f>IF(AND($A129="Side",$F129=1),SUMPRODUCT(($A$2:$A129="Side")*($F$2:$F129=1)),"")</f>
        <v/>
      </c>
      <c r="K129" t="str">
        <f>IF(AND($A129="Drink",$F129=1),SUMPRODUCT(($A$2:$A129="Drink")*($F$2:$F129=1)),"")</f>
        <v/>
      </c>
      <c r="L129" t="str">
        <f>IF($F129=1,SUMPRODUCT(($F$2:$F129=1)*1),"")</f>
        <v/>
      </c>
    </row>
    <row r="130" spans="7:12">
      <c r="G130" t="str">
        <f>IF(AND($A130="Starter",$F130=1),SUMPRODUCT(($A$2:$A130="Starter")*($F$2:$F130=1)),"")</f>
        <v/>
      </c>
      <c r="H130" t="str">
        <f>IF(AND($A130="Main",$F130=1),SUMPRODUCT(($A$2:$A130="Main")*($F$2:$F130=1)),"")</f>
        <v/>
      </c>
      <c r="I130" t="str">
        <f>IF(AND($A130="Dessert",$F130=1),SUMPRODUCT(($A$2:$A130="Dessert")*($F$2:$F130=1)),"")</f>
        <v/>
      </c>
      <c r="J130" t="str">
        <f>IF(AND($A130="Side",$F130=1),SUMPRODUCT(($A$2:$A130="Side")*($F$2:$F130=1)),"")</f>
        <v/>
      </c>
      <c r="K130" t="str">
        <f>IF(AND($A130="Drink",$F130=1),SUMPRODUCT(($A$2:$A130="Drink")*($F$2:$F130=1)),"")</f>
        <v/>
      </c>
      <c r="L130" t="str">
        <f>IF($F130=1,SUMPRODUCT(($F$2:$F130=1)*1),"")</f>
        <v/>
      </c>
    </row>
    <row r="131" spans="7:12">
      <c r="G131" t="str">
        <f>IF(AND($A131="Starter",$F131=1),SUMPRODUCT(($A$2:$A131="Starter")*($F$2:$F131=1)),"")</f>
        <v/>
      </c>
      <c r="H131" t="str">
        <f>IF(AND($A131="Main",$F131=1),SUMPRODUCT(($A$2:$A131="Main")*($F$2:$F131=1)),"")</f>
        <v/>
      </c>
      <c r="I131" t="str">
        <f>IF(AND($A131="Dessert",$F131=1),SUMPRODUCT(($A$2:$A131="Dessert")*($F$2:$F131=1)),"")</f>
        <v/>
      </c>
      <c r="J131" t="str">
        <f>IF(AND($A131="Side",$F131=1),SUMPRODUCT(($A$2:$A131="Side")*($F$2:$F131=1)),"")</f>
        <v/>
      </c>
      <c r="K131" t="str">
        <f>IF(AND($A131="Drink",$F131=1),SUMPRODUCT(($A$2:$A131="Drink")*($F$2:$F131=1)),"")</f>
        <v/>
      </c>
      <c r="L131" t="str">
        <f>IF($F131=1,SUMPRODUCT(($F$2:$F131=1)*1),"")</f>
        <v/>
      </c>
    </row>
    <row r="132" spans="7:12">
      <c r="G132" t="str">
        <f>IF(AND($A132="Starter",$F132=1),SUMPRODUCT(($A$2:$A132="Starter")*($F$2:$F132=1)),"")</f>
        <v/>
      </c>
      <c r="H132" t="str">
        <f>IF(AND($A132="Main",$F132=1),SUMPRODUCT(($A$2:$A132="Main")*($F$2:$F132=1)),"")</f>
        <v/>
      </c>
      <c r="I132" t="str">
        <f>IF(AND($A132="Dessert",$F132=1),SUMPRODUCT(($A$2:$A132="Dessert")*($F$2:$F132=1)),"")</f>
        <v/>
      </c>
      <c r="J132" t="str">
        <f>IF(AND($A132="Side",$F132=1),SUMPRODUCT(($A$2:$A132="Side")*($F$2:$F132=1)),"")</f>
        <v/>
      </c>
      <c r="K132" t="str">
        <f>IF(AND($A132="Drink",$F132=1),SUMPRODUCT(($A$2:$A132="Drink")*($F$2:$F132=1)),"")</f>
        <v/>
      </c>
      <c r="L132" t="str">
        <f>IF($F132=1,SUMPRODUCT(($F$2:$F132=1)*1),"")</f>
        <v/>
      </c>
    </row>
    <row r="133" spans="7:12">
      <c r="G133" t="str">
        <f>IF(AND($A133="Starter",$F133=1),SUMPRODUCT(($A$2:$A133="Starter")*($F$2:$F133=1)),"")</f>
        <v/>
      </c>
      <c r="H133" t="str">
        <f>IF(AND($A133="Main",$F133=1),SUMPRODUCT(($A$2:$A133="Main")*($F$2:$F133=1)),"")</f>
        <v/>
      </c>
      <c r="I133" t="str">
        <f>IF(AND($A133="Dessert",$F133=1),SUMPRODUCT(($A$2:$A133="Dessert")*($F$2:$F133=1)),"")</f>
        <v/>
      </c>
      <c r="J133" t="str">
        <f>IF(AND($A133="Side",$F133=1),SUMPRODUCT(($A$2:$A133="Side")*($F$2:$F133=1)),"")</f>
        <v/>
      </c>
      <c r="K133" t="str">
        <f>IF(AND($A133="Drink",$F133=1),SUMPRODUCT(($A$2:$A133="Drink")*($F$2:$F133=1)),"")</f>
        <v/>
      </c>
      <c r="L133" t="str">
        <f>IF($F133=1,SUMPRODUCT(($F$2:$F133=1)*1),"")</f>
        <v/>
      </c>
    </row>
    <row r="134" spans="7:12">
      <c r="G134" t="str">
        <f>IF(AND($A134="Starter",$F134=1),SUMPRODUCT(($A$2:$A134="Starter")*($F$2:$F134=1)),"")</f>
        <v/>
      </c>
      <c r="H134" t="str">
        <f>IF(AND($A134="Main",$F134=1),SUMPRODUCT(($A$2:$A134="Main")*($F$2:$F134=1)),"")</f>
        <v/>
      </c>
      <c r="I134" t="str">
        <f>IF(AND($A134="Dessert",$F134=1),SUMPRODUCT(($A$2:$A134="Dessert")*($F$2:$F134=1)),"")</f>
        <v/>
      </c>
      <c r="J134" t="str">
        <f>IF(AND($A134="Side",$F134=1),SUMPRODUCT(($A$2:$A134="Side")*($F$2:$F134=1)),"")</f>
        <v/>
      </c>
      <c r="K134" t="str">
        <f>IF(AND($A134="Drink",$F134=1),SUMPRODUCT(($A$2:$A134="Drink")*($F$2:$F134=1)),"")</f>
        <v/>
      </c>
      <c r="L134" t="str">
        <f>IF($F134=1,SUMPRODUCT(($F$2:$F134=1)*1),"")</f>
        <v/>
      </c>
    </row>
    <row r="135" spans="7:12">
      <c r="G135" t="str">
        <f>IF(AND($A135="Starter",$F135=1),SUMPRODUCT(($A$2:$A135="Starter")*($F$2:$F135=1)),"")</f>
        <v/>
      </c>
      <c r="H135" t="str">
        <f>IF(AND($A135="Main",$F135=1),SUMPRODUCT(($A$2:$A135="Main")*($F$2:$F135=1)),"")</f>
        <v/>
      </c>
      <c r="I135" t="str">
        <f>IF(AND($A135="Dessert",$F135=1),SUMPRODUCT(($A$2:$A135="Dessert")*($F$2:$F135=1)),"")</f>
        <v/>
      </c>
      <c r="J135" t="str">
        <f>IF(AND($A135="Side",$F135=1),SUMPRODUCT(($A$2:$A135="Side")*($F$2:$F135=1)),"")</f>
        <v/>
      </c>
      <c r="K135" t="str">
        <f>IF(AND($A135="Drink",$F135=1),SUMPRODUCT(($A$2:$A135="Drink")*($F$2:$F135=1)),"")</f>
        <v/>
      </c>
      <c r="L135" t="str">
        <f>IF($F135=1,SUMPRODUCT(($F$2:$F135=1)*1),"")</f>
        <v/>
      </c>
    </row>
    <row r="136" spans="7:12">
      <c r="G136" t="str">
        <f>IF(AND($A136="Starter",$F136=1),SUMPRODUCT(($A$2:$A136="Starter")*($F$2:$F136=1)),"")</f>
        <v/>
      </c>
      <c r="H136" t="str">
        <f>IF(AND($A136="Main",$F136=1),SUMPRODUCT(($A$2:$A136="Main")*($F$2:$F136=1)),"")</f>
        <v/>
      </c>
      <c r="I136" t="str">
        <f>IF(AND($A136="Dessert",$F136=1),SUMPRODUCT(($A$2:$A136="Dessert")*($F$2:$F136=1)),"")</f>
        <v/>
      </c>
      <c r="J136" t="str">
        <f>IF(AND($A136="Side",$F136=1),SUMPRODUCT(($A$2:$A136="Side")*($F$2:$F136=1)),"")</f>
        <v/>
      </c>
      <c r="K136" t="str">
        <f>IF(AND($A136="Drink",$F136=1),SUMPRODUCT(($A$2:$A136="Drink")*($F$2:$F136=1)),"")</f>
        <v/>
      </c>
      <c r="L136" t="str">
        <f>IF($F136=1,SUMPRODUCT(($F$2:$F136=1)*1),"")</f>
        <v/>
      </c>
    </row>
    <row r="137" spans="7:12">
      <c r="G137" t="str">
        <f>IF(AND($A137="Starter",$F137=1),SUMPRODUCT(($A$2:$A137="Starter")*($F$2:$F137=1)),"")</f>
        <v/>
      </c>
      <c r="H137" t="str">
        <f>IF(AND($A137="Main",$F137=1),SUMPRODUCT(($A$2:$A137="Main")*($F$2:$F137=1)),"")</f>
        <v/>
      </c>
      <c r="I137" t="str">
        <f>IF(AND($A137="Dessert",$F137=1),SUMPRODUCT(($A$2:$A137="Dessert")*($F$2:$F137=1)),"")</f>
        <v/>
      </c>
      <c r="J137" t="str">
        <f>IF(AND($A137="Side",$F137=1),SUMPRODUCT(($A$2:$A137="Side")*($F$2:$F137=1)),"")</f>
        <v/>
      </c>
      <c r="K137" t="str">
        <f>IF(AND($A137="Drink",$F137=1),SUMPRODUCT(($A$2:$A137="Drink")*($F$2:$F137=1)),"")</f>
        <v/>
      </c>
      <c r="L137" t="str">
        <f>IF($F137=1,SUMPRODUCT(($F$2:$F137=1)*1),"")</f>
        <v/>
      </c>
    </row>
    <row r="138" spans="7:12">
      <c r="G138" t="str">
        <f>IF(AND($A138="Starter",$F138=1),SUMPRODUCT(($A$2:$A138="Starter")*($F$2:$F138=1)),"")</f>
        <v/>
      </c>
      <c r="H138" t="str">
        <f>IF(AND($A138="Main",$F138=1),SUMPRODUCT(($A$2:$A138="Main")*($F$2:$F138=1)),"")</f>
        <v/>
      </c>
      <c r="I138" t="str">
        <f>IF(AND($A138="Dessert",$F138=1),SUMPRODUCT(($A$2:$A138="Dessert")*($F$2:$F138=1)),"")</f>
        <v/>
      </c>
      <c r="J138" t="str">
        <f>IF(AND($A138="Side",$F138=1),SUMPRODUCT(($A$2:$A138="Side")*($F$2:$F138=1)),"")</f>
        <v/>
      </c>
      <c r="K138" t="str">
        <f>IF(AND($A138="Drink",$F138=1),SUMPRODUCT(($A$2:$A138="Drink")*($F$2:$F138=1)),"")</f>
        <v/>
      </c>
      <c r="L138" t="str">
        <f>IF($F138=1,SUMPRODUCT(($F$2:$F138=1)*1),"")</f>
        <v/>
      </c>
    </row>
    <row r="139" spans="7:12">
      <c r="G139" t="str">
        <f>IF(AND($A139="Starter",$F139=1),SUMPRODUCT(($A$2:$A139="Starter")*($F$2:$F139=1)),"")</f>
        <v/>
      </c>
      <c r="H139" t="str">
        <f>IF(AND($A139="Main",$F139=1),SUMPRODUCT(($A$2:$A139="Main")*($F$2:$F139=1)),"")</f>
        <v/>
      </c>
      <c r="I139" t="str">
        <f>IF(AND($A139="Dessert",$F139=1),SUMPRODUCT(($A$2:$A139="Dessert")*($F$2:$F139=1)),"")</f>
        <v/>
      </c>
      <c r="J139" t="str">
        <f>IF(AND($A139="Side",$F139=1),SUMPRODUCT(($A$2:$A139="Side")*($F$2:$F139=1)),"")</f>
        <v/>
      </c>
      <c r="K139" t="str">
        <f>IF(AND($A139="Drink",$F139=1),SUMPRODUCT(($A$2:$A139="Drink")*($F$2:$F139=1)),"")</f>
        <v/>
      </c>
      <c r="L139" t="str">
        <f>IF($F139=1,SUMPRODUCT(($F$2:$F139=1)*1),"")</f>
        <v/>
      </c>
    </row>
    <row r="140" spans="7:12">
      <c r="G140" t="str">
        <f>IF(AND($A140="Starter",$F140=1),SUMPRODUCT(($A$2:$A140="Starter")*($F$2:$F140=1)),"")</f>
        <v/>
      </c>
      <c r="H140" t="str">
        <f>IF(AND($A140="Main",$F140=1),SUMPRODUCT(($A$2:$A140="Main")*($F$2:$F140=1)),"")</f>
        <v/>
      </c>
      <c r="I140" t="str">
        <f>IF(AND($A140="Dessert",$F140=1),SUMPRODUCT(($A$2:$A140="Dessert")*($F$2:$F140=1)),"")</f>
        <v/>
      </c>
      <c r="J140" t="str">
        <f>IF(AND($A140="Side",$F140=1),SUMPRODUCT(($A$2:$A140="Side")*($F$2:$F140=1)),"")</f>
        <v/>
      </c>
      <c r="K140" t="str">
        <f>IF(AND($A140="Drink",$F140=1),SUMPRODUCT(($A$2:$A140="Drink")*($F$2:$F140=1)),"")</f>
        <v/>
      </c>
      <c r="L140" t="str">
        <f>IF($F140=1,SUMPRODUCT(($F$2:$F140=1)*1),"")</f>
        <v/>
      </c>
    </row>
    <row r="141" spans="7:12">
      <c r="G141" t="str">
        <f>IF(AND($A141="Starter",$F141=1),SUMPRODUCT(($A$2:$A141="Starter")*($F$2:$F141=1)),"")</f>
        <v/>
      </c>
      <c r="H141" t="str">
        <f>IF(AND($A141="Main",$F141=1),SUMPRODUCT(($A$2:$A141="Main")*($F$2:$F141=1)),"")</f>
        <v/>
      </c>
      <c r="I141" t="str">
        <f>IF(AND($A141="Dessert",$F141=1),SUMPRODUCT(($A$2:$A141="Dessert")*($F$2:$F141=1)),"")</f>
        <v/>
      </c>
      <c r="J141" t="str">
        <f>IF(AND($A141="Side",$F141=1),SUMPRODUCT(($A$2:$A141="Side")*($F$2:$F141=1)),"")</f>
        <v/>
      </c>
      <c r="K141" t="str">
        <f>IF(AND($A141="Drink",$F141=1),SUMPRODUCT(($A$2:$A141="Drink")*($F$2:$F141=1)),"")</f>
        <v/>
      </c>
      <c r="L141" t="str">
        <f>IF($F141=1,SUMPRODUCT(($F$2:$F141=1)*1),"")</f>
        <v/>
      </c>
    </row>
    <row r="142" spans="7:12">
      <c r="G142" t="str">
        <f>IF(AND($A142="Starter",$F142=1),SUMPRODUCT(($A$2:$A142="Starter")*($F$2:$F142=1)),"")</f>
        <v/>
      </c>
      <c r="H142" t="str">
        <f>IF(AND($A142="Main",$F142=1),SUMPRODUCT(($A$2:$A142="Main")*($F$2:$F142=1)),"")</f>
        <v/>
      </c>
      <c r="I142" t="str">
        <f>IF(AND($A142="Dessert",$F142=1),SUMPRODUCT(($A$2:$A142="Dessert")*($F$2:$F142=1)),"")</f>
        <v/>
      </c>
      <c r="J142" t="str">
        <f>IF(AND($A142="Side",$F142=1),SUMPRODUCT(($A$2:$A142="Side")*($F$2:$F142=1)),"")</f>
        <v/>
      </c>
      <c r="K142" t="str">
        <f>IF(AND($A142="Drink",$F142=1),SUMPRODUCT(($A$2:$A142="Drink")*($F$2:$F142=1)),"")</f>
        <v/>
      </c>
      <c r="L142" t="str">
        <f>IF($F142=1,SUMPRODUCT(($F$2:$F142=1)*1),"")</f>
        <v/>
      </c>
    </row>
    <row r="143" spans="7:12">
      <c r="G143" t="str">
        <f>IF(AND($A143="Starter",$F143=1),SUMPRODUCT(($A$2:$A143="Starter")*($F$2:$F143=1)),"")</f>
        <v/>
      </c>
      <c r="H143" t="str">
        <f>IF(AND($A143="Main",$F143=1),SUMPRODUCT(($A$2:$A143="Main")*($F$2:$F143=1)),"")</f>
        <v/>
      </c>
      <c r="I143" t="str">
        <f>IF(AND($A143="Dessert",$F143=1),SUMPRODUCT(($A$2:$A143="Dessert")*($F$2:$F143=1)),"")</f>
        <v/>
      </c>
      <c r="J143" t="str">
        <f>IF(AND($A143="Side",$F143=1),SUMPRODUCT(($A$2:$A143="Side")*($F$2:$F143=1)),"")</f>
        <v/>
      </c>
      <c r="K143" t="str">
        <f>IF(AND($A143="Drink",$F143=1),SUMPRODUCT(($A$2:$A143="Drink")*($F$2:$F143=1)),"")</f>
        <v/>
      </c>
      <c r="L143" t="str">
        <f>IF($F143=1,SUMPRODUCT(($F$2:$F143=1)*1),"")</f>
        <v/>
      </c>
    </row>
    <row r="144" spans="7:12">
      <c r="G144" t="str">
        <f>IF(AND($A144="Starter",$F144=1),SUMPRODUCT(($A$2:$A144="Starter")*($F$2:$F144=1)),"")</f>
        <v/>
      </c>
      <c r="H144" t="str">
        <f>IF(AND($A144="Main",$F144=1),SUMPRODUCT(($A$2:$A144="Main")*($F$2:$F144=1)),"")</f>
        <v/>
      </c>
      <c r="I144" t="str">
        <f>IF(AND($A144="Dessert",$F144=1),SUMPRODUCT(($A$2:$A144="Dessert")*($F$2:$F144=1)),"")</f>
        <v/>
      </c>
      <c r="J144" t="str">
        <f>IF(AND($A144="Side",$F144=1),SUMPRODUCT(($A$2:$A144="Side")*($F$2:$F144=1)),"")</f>
        <v/>
      </c>
      <c r="K144" t="str">
        <f>IF(AND($A144="Drink",$F144=1),SUMPRODUCT(($A$2:$A144="Drink")*($F$2:$F144=1)),"")</f>
        <v/>
      </c>
      <c r="L144" t="str">
        <f>IF($F144=1,SUMPRODUCT(($F$2:$F144=1)*1),"")</f>
        <v/>
      </c>
    </row>
    <row r="145" spans="7:12">
      <c r="G145" t="str">
        <f>IF(AND($A145="Starter",$F145=1),SUMPRODUCT(($A$2:$A145="Starter")*($F$2:$F145=1)),"")</f>
        <v/>
      </c>
      <c r="H145" t="str">
        <f>IF(AND($A145="Main",$F145=1),SUMPRODUCT(($A$2:$A145="Main")*($F$2:$F145=1)),"")</f>
        <v/>
      </c>
      <c r="I145" t="str">
        <f>IF(AND($A145="Dessert",$F145=1),SUMPRODUCT(($A$2:$A145="Dessert")*($F$2:$F145=1)),"")</f>
        <v/>
      </c>
      <c r="J145" t="str">
        <f>IF(AND($A145="Side",$F145=1),SUMPRODUCT(($A$2:$A145="Side")*($F$2:$F145=1)),"")</f>
        <v/>
      </c>
      <c r="K145" t="str">
        <f>IF(AND($A145="Drink",$F145=1),SUMPRODUCT(($A$2:$A145="Drink")*($F$2:$F145=1)),"")</f>
        <v/>
      </c>
      <c r="L145" t="str">
        <f>IF($F145=1,SUMPRODUCT(($F$2:$F145=1)*1),"")</f>
        <v/>
      </c>
    </row>
    <row r="146" spans="7:12">
      <c r="G146" t="str">
        <f>IF(AND($A146="Starter",$F146=1),SUMPRODUCT(($A$2:$A146="Starter")*($F$2:$F146=1)),"")</f>
        <v/>
      </c>
      <c r="H146" t="str">
        <f>IF(AND($A146="Main",$F146=1),SUMPRODUCT(($A$2:$A146="Main")*($F$2:$F146=1)),"")</f>
        <v/>
      </c>
      <c r="I146" t="str">
        <f>IF(AND($A146="Dessert",$F146=1),SUMPRODUCT(($A$2:$A146="Dessert")*($F$2:$F146=1)),"")</f>
        <v/>
      </c>
      <c r="J146" t="str">
        <f>IF(AND($A146="Side",$F146=1),SUMPRODUCT(($A$2:$A146="Side")*($F$2:$F146=1)),"")</f>
        <v/>
      </c>
      <c r="K146" t="str">
        <f>IF(AND($A146="Drink",$F146=1),SUMPRODUCT(($A$2:$A146="Drink")*($F$2:$F146=1)),"")</f>
        <v/>
      </c>
      <c r="L146" t="str">
        <f>IF($F146=1,SUMPRODUCT(($F$2:$F146=1)*1),"")</f>
        <v/>
      </c>
    </row>
    <row r="147" spans="7:12">
      <c r="G147" t="str">
        <f>IF(AND($A147="Starter",$F147=1),SUMPRODUCT(($A$2:$A147="Starter")*($F$2:$F147=1)),"")</f>
        <v/>
      </c>
      <c r="H147" t="str">
        <f>IF(AND($A147="Main",$F147=1),SUMPRODUCT(($A$2:$A147="Main")*($F$2:$F147=1)),"")</f>
        <v/>
      </c>
      <c r="I147" t="str">
        <f>IF(AND($A147="Dessert",$F147=1),SUMPRODUCT(($A$2:$A147="Dessert")*($F$2:$F147=1)),"")</f>
        <v/>
      </c>
      <c r="J147" t="str">
        <f>IF(AND($A147="Side",$F147=1),SUMPRODUCT(($A$2:$A147="Side")*($F$2:$F147=1)),"")</f>
        <v/>
      </c>
      <c r="K147" t="str">
        <f>IF(AND($A147="Drink",$F147=1),SUMPRODUCT(($A$2:$A147="Drink")*($F$2:$F147=1)),"")</f>
        <v/>
      </c>
      <c r="L147" t="str">
        <f>IF($F147=1,SUMPRODUCT(($F$2:$F147=1)*1),"")</f>
        <v/>
      </c>
    </row>
    <row r="148" spans="7:12">
      <c r="G148" t="str">
        <f>IF(AND($A148="Starter",$F148=1),SUMPRODUCT(($A$2:$A148="Starter")*($F$2:$F148=1)),"")</f>
        <v/>
      </c>
      <c r="H148" t="str">
        <f>IF(AND($A148="Main",$F148=1),SUMPRODUCT(($A$2:$A148="Main")*($F$2:$F148=1)),"")</f>
        <v/>
      </c>
      <c r="I148" t="str">
        <f>IF(AND($A148="Dessert",$F148=1),SUMPRODUCT(($A$2:$A148="Dessert")*($F$2:$F148=1)),"")</f>
        <v/>
      </c>
      <c r="J148" t="str">
        <f>IF(AND($A148="Side",$F148=1),SUMPRODUCT(($A$2:$A148="Side")*($F$2:$F148=1)),"")</f>
        <v/>
      </c>
      <c r="K148" t="str">
        <f>IF(AND($A148="Drink",$F148=1),SUMPRODUCT(($A$2:$A148="Drink")*($F$2:$F148=1)),"")</f>
        <v/>
      </c>
      <c r="L148" t="str">
        <f>IF($F148=1,SUMPRODUCT(($F$2:$F148=1)*1),"")</f>
        <v/>
      </c>
    </row>
    <row r="149" spans="7:12">
      <c r="G149" t="str">
        <f>IF(AND($A149="Starter",$F149=1),SUMPRODUCT(($A$2:$A149="Starter")*($F$2:$F149=1)),"")</f>
        <v/>
      </c>
      <c r="H149" t="str">
        <f>IF(AND($A149="Main",$F149=1),SUMPRODUCT(($A$2:$A149="Main")*($F$2:$F149=1)),"")</f>
        <v/>
      </c>
      <c r="I149" t="str">
        <f>IF(AND($A149="Dessert",$F149=1),SUMPRODUCT(($A$2:$A149="Dessert")*($F$2:$F149=1)),"")</f>
        <v/>
      </c>
      <c r="J149" t="str">
        <f>IF(AND($A149="Side",$F149=1),SUMPRODUCT(($A$2:$A149="Side")*($F$2:$F149=1)),"")</f>
        <v/>
      </c>
      <c r="K149" t="str">
        <f>IF(AND($A149="Drink",$F149=1),SUMPRODUCT(($A$2:$A149="Drink")*($F$2:$F149=1)),"")</f>
        <v/>
      </c>
      <c r="L149" t="str">
        <f>IF($F149=1,SUMPRODUCT(($F$2:$F149=1)*1),"")</f>
        <v/>
      </c>
    </row>
    <row r="150" spans="7:12">
      <c r="G150" t="str">
        <f>IF(AND($A150="Starter",$F150=1),SUMPRODUCT(($A$2:$A150="Starter")*($F$2:$F150=1)),"")</f>
        <v/>
      </c>
      <c r="H150" t="str">
        <f>IF(AND($A150="Main",$F150=1),SUMPRODUCT(($A$2:$A150="Main")*($F$2:$F150=1)),"")</f>
        <v/>
      </c>
      <c r="I150" t="str">
        <f>IF(AND($A150="Dessert",$F150=1),SUMPRODUCT(($A$2:$A150="Dessert")*($F$2:$F150=1)),"")</f>
        <v/>
      </c>
      <c r="J150" t="str">
        <f>IF(AND($A150="Side",$F150=1),SUMPRODUCT(($A$2:$A150="Side")*($F$2:$F150=1)),"")</f>
        <v/>
      </c>
      <c r="K150" t="str">
        <f>IF(AND($A150="Drink",$F150=1),SUMPRODUCT(($A$2:$A150="Drink")*($F$2:$F150=1)),"")</f>
        <v/>
      </c>
      <c r="L150" t="str">
        <f>IF($F150=1,SUMPRODUCT(($F$2:$F150=1)*1),"")</f>
        <v/>
      </c>
    </row>
    <row r="151" spans="7:12">
      <c r="G151" t="str">
        <f>IF(AND($A151="Starter",$F151=1),SUMPRODUCT(($A$2:$A151="Starter")*($F$2:$F151=1)),"")</f>
        <v/>
      </c>
      <c r="H151" t="str">
        <f>IF(AND($A151="Main",$F151=1),SUMPRODUCT(($A$2:$A151="Main")*($F$2:$F151=1)),"")</f>
        <v/>
      </c>
      <c r="I151" t="str">
        <f>IF(AND($A151="Dessert",$F151=1),SUMPRODUCT(($A$2:$A151="Dessert")*($F$2:$F151=1)),"")</f>
        <v/>
      </c>
      <c r="J151" t="str">
        <f>IF(AND($A151="Side",$F151=1),SUMPRODUCT(($A$2:$A151="Side")*($F$2:$F151=1)),"")</f>
        <v/>
      </c>
      <c r="K151" t="str">
        <f>IF(AND($A151="Drink",$F151=1),SUMPRODUCT(($A$2:$A151="Drink")*($F$2:$F151=1)),"")</f>
        <v/>
      </c>
      <c r="L151" t="str">
        <f>IF($F151=1,SUMPRODUCT(($F$2:$F151=1)*1),"")</f>
        <v/>
      </c>
    </row>
    <row r="152" spans="7:12">
      <c r="G152" t="str">
        <f>IF(AND($A152="Starter",$F152=1),SUMPRODUCT(($A$2:$A152="Starter")*($F$2:$F152=1)),"")</f>
        <v/>
      </c>
      <c r="H152" t="str">
        <f>IF(AND($A152="Main",$F152=1),SUMPRODUCT(($A$2:$A152="Main")*($F$2:$F152=1)),"")</f>
        <v/>
      </c>
      <c r="I152" t="str">
        <f>IF(AND($A152="Dessert",$F152=1),SUMPRODUCT(($A$2:$A152="Dessert")*($F$2:$F152=1)),"")</f>
        <v/>
      </c>
      <c r="J152" t="str">
        <f>IF(AND($A152="Side",$F152=1),SUMPRODUCT(($A$2:$A152="Side")*($F$2:$F152=1)),"")</f>
        <v/>
      </c>
      <c r="K152" t="str">
        <f>IF(AND($A152="Drink",$F152=1),SUMPRODUCT(($A$2:$A152="Drink")*($F$2:$F152=1)),"")</f>
        <v/>
      </c>
      <c r="L152" t="str">
        <f>IF($F152=1,SUMPRODUCT(($F$2:$F152=1)*1),"")</f>
        <v/>
      </c>
    </row>
    <row r="153" spans="7:12">
      <c r="G153" t="str">
        <f>IF(AND($A153="Starter",$F153=1),SUMPRODUCT(($A$2:$A153="Starter")*($F$2:$F153=1)),"")</f>
        <v/>
      </c>
      <c r="H153" t="str">
        <f>IF(AND($A153="Main",$F153=1),SUMPRODUCT(($A$2:$A153="Main")*($F$2:$F153=1)),"")</f>
        <v/>
      </c>
      <c r="I153" t="str">
        <f>IF(AND($A153="Dessert",$F153=1),SUMPRODUCT(($A$2:$A153="Dessert")*($F$2:$F153=1)),"")</f>
        <v/>
      </c>
      <c r="J153" t="str">
        <f>IF(AND($A153="Side",$F153=1),SUMPRODUCT(($A$2:$A153="Side")*($F$2:$F153=1)),"")</f>
        <v/>
      </c>
      <c r="K153" t="str">
        <f>IF(AND($A153="Drink",$F153=1),SUMPRODUCT(($A$2:$A153="Drink")*($F$2:$F153=1)),"")</f>
        <v/>
      </c>
      <c r="L153" t="str">
        <f>IF($F153=1,SUMPRODUCT(($F$2:$F153=1)*1),"")</f>
        <v/>
      </c>
    </row>
    <row r="154" spans="7:12">
      <c r="G154" t="str">
        <f>IF(AND($A154="Starter",$F154=1),SUMPRODUCT(($A$2:$A154="Starter")*($F$2:$F154=1)),"")</f>
        <v/>
      </c>
      <c r="H154" t="str">
        <f>IF(AND($A154="Main",$F154=1),SUMPRODUCT(($A$2:$A154="Main")*($F$2:$F154=1)),"")</f>
        <v/>
      </c>
      <c r="I154" t="str">
        <f>IF(AND($A154="Dessert",$F154=1),SUMPRODUCT(($A$2:$A154="Dessert")*($F$2:$F154=1)),"")</f>
        <v/>
      </c>
      <c r="J154" t="str">
        <f>IF(AND($A154="Side",$F154=1),SUMPRODUCT(($A$2:$A154="Side")*($F$2:$F154=1)),"")</f>
        <v/>
      </c>
      <c r="K154" t="str">
        <f>IF(AND($A154="Drink",$F154=1),SUMPRODUCT(($A$2:$A154="Drink")*($F$2:$F154=1)),"")</f>
        <v/>
      </c>
      <c r="L154" t="str">
        <f>IF($F154=1,SUMPRODUCT(($F$2:$F154=1)*1),"")</f>
        <v/>
      </c>
    </row>
    <row r="155" spans="7:12">
      <c r="G155" t="str">
        <f>IF(AND($A155="Starter",$F155=1),SUMPRODUCT(($A$2:$A155="Starter")*($F$2:$F155=1)),"")</f>
        <v/>
      </c>
      <c r="H155" t="str">
        <f>IF(AND($A155="Main",$F155=1),SUMPRODUCT(($A$2:$A155="Main")*($F$2:$F155=1)),"")</f>
        <v/>
      </c>
      <c r="I155" t="str">
        <f>IF(AND($A155="Dessert",$F155=1),SUMPRODUCT(($A$2:$A155="Dessert")*($F$2:$F155=1)),"")</f>
        <v/>
      </c>
      <c r="J155" t="str">
        <f>IF(AND($A155="Side",$F155=1),SUMPRODUCT(($A$2:$A155="Side")*($F$2:$F155=1)),"")</f>
        <v/>
      </c>
      <c r="K155" t="str">
        <f>IF(AND($A155="Drink",$F155=1),SUMPRODUCT(($A$2:$A155="Drink")*($F$2:$F155=1)),"")</f>
        <v/>
      </c>
      <c r="L155" t="str">
        <f>IF($F155=1,SUMPRODUCT(($F$2:$F155=1)*1),"")</f>
        <v/>
      </c>
    </row>
    <row r="156" spans="7:12">
      <c r="G156" t="str">
        <f>IF(AND($A156="Starter",$F156=1),SUMPRODUCT(($A$2:$A156="Starter")*($F$2:$F156=1)),"")</f>
        <v/>
      </c>
      <c r="H156" t="str">
        <f>IF(AND($A156="Main",$F156=1),SUMPRODUCT(($A$2:$A156="Main")*($F$2:$F156=1)),"")</f>
        <v/>
      </c>
      <c r="I156" t="str">
        <f>IF(AND($A156="Dessert",$F156=1),SUMPRODUCT(($A$2:$A156="Dessert")*($F$2:$F156=1)),"")</f>
        <v/>
      </c>
      <c r="J156" t="str">
        <f>IF(AND($A156="Side",$F156=1),SUMPRODUCT(($A$2:$A156="Side")*($F$2:$F156=1)),"")</f>
        <v/>
      </c>
      <c r="K156" t="str">
        <f>IF(AND($A156="Drink",$F156=1),SUMPRODUCT(($A$2:$A156="Drink")*($F$2:$F156=1)),"")</f>
        <v/>
      </c>
      <c r="L156" t="str">
        <f>IF($F156=1,SUMPRODUCT(($F$2:$F156=1)*1),"")</f>
        <v/>
      </c>
    </row>
    <row r="157" spans="7:12">
      <c r="G157" t="str">
        <f>IF(AND($A157="Starter",$F157=1),SUMPRODUCT(($A$2:$A157="Starter")*($F$2:$F157=1)),"")</f>
        <v/>
      </c>
      <c r="H157" t="str">
        <f>IF(AND($A157="Main",$F157=1),SUMPRODUCT(($A$2:$A157="Main")*($F$2:$F157=1)),"")</f>
        <v/>
      </c>
      <c r="I157" t="str">
        <f>IF(AND($A157="Dessert",$F157=1),SUMPRODUCT(($A$2:$A157="Dessert")*($F$2:$F157=1)),"")</f>
        <v/>
      </c>
      <c r="J157" t="str">
        <f>IF(AND($A157="Side",$F157=1),SUMPRODUCT(($A$2:$A157="Side")*($F$2:$F157=1)),"")</f>
        <v/>
      </c>
      <c r="K157" t="str">
        <f>IF(AND($A157="Drink",$F157=1),SUMPRODUCT(($A$2:$A157="Drink")*($F$2:$F157=1)),"")</f>
        <v/>
      </c>
      <c r="L157" t="str">
        <f>IF($F157=1,SUMPRODUCT(($F$2:$F157=1)*1),"")</f>
        <v/>
      </c>
    </row>
    <row r="158" spans="7:12">
      <c r="G158" t="str">
        <f>IF(AND($A158="Starter",$F158=1),SUMPRODUCT(($A$2:$A158="Starter")*($F$2:$F158=1)),"")</f>
        <v/>
      </c>
      <c r="H158" t="str">
        <f>IF(AND($A158="Main",$F158=1),SUMPRODUCT(($A$2:$A158="Main")*($F$2:$F158=1)),"")</f>
        <v/>
      </c>
      <c r="I158" t="str">
        <f>IF(AND($A158="Dessert",$F158=1),SUMPRODUCT(($A$2:$A158="Dessert")*($F$2:$F158=1)),"")</f>
        <v/>
      </c>
      <c r="J158" t="str">
        <f>IF(AND($A158="Side",$F158=1),SUMPRODUCT(($A$2:$A158="Side")*($F$2:$F158=1)),"")</f>
        <v/>
      </c>
      <c r="K158" t="str">
        <f>IF(AND($A158="Drink",$F158=1),SUMPRODUCT(($A$2:$A158="Drink")*($F$2:$F158=1)),"")</f>
        <v/>
      </c>
      <c r="L158" t="str">
        <f>IF($F158=1,SUMPRODUCT(($F$2:$F158=1)*1),"")</f>
        <v/>
      </c>
    </row>
    <row r="159" spans="7:12">
      <c r="G159" t="str">
        <f>IF(AND($A159="Starter",$F159=1),SUMPRODUCT(($A$2:$A159="Starter")*($F$2:$F159=1)),"")</f>
        <v/>
      </c>
      <c r="H159" t="str">
        <f>IF(AND($A159="Main",$F159=1),SUMPRODUCT(($A$2:$A159="Main")*($F$2:$F159=1)),"")</f>
        <v/>
      </c>
      <c r="I159" t="str">
        <f>IF(AND($A159="Dessert",$F159=1),SUMPRODUCT(($A$2:$A159="Dessert")*($F$2:$F159=1)),"")</f>
        <v/>
      </c>
      <c r="J159" t="str">
        <f>IF(AND($A159="Side",$F159=1),SUMPRODUCT(($A$2:$A159="Side")*($F$2:$F159=1)),"")</f>
        <v/>
      </c>
      <c r="K159" t="str">
        <f>IF(AND($A159="Drink",$F159=1),SUMPRODUCT(($A$2:$A159="Drink")*($F$2:$F159=1)),"")</f>
        <v/>
      </c>
      <c r="L159" t="str">
        <f>IF($F159=1,SUMPRODUCT(($F$2:$F159=1)*1),"")</f>
        <v/>
      </c>
    </row>
    <row r="160" spans="7:12">
      <c r="G160" t="str">
        <f>IF(AND($A160="Starter",$F160=1),SUMPRODUCT(($A$2:$A160="Starter")*($F$2:$F160=1)),"")</f>
        <v/>
      </c>
      <c r="H160" t="str">
        <f>IF(AND($A160="Main",$F160=1),SUMPRODUCT(($A$2:$A160="Main")*($F$2:$F160=1)),"")</f>
        <v/>
      </c>
      <c r="I160" t="str">
        <f>IF(AND($A160="Dessert",$F160=1),SUMPRODUCT(($A$2:$A160="Dessert")*($F$2:$F160=1)),"")</f>
        <v/>
      </c>
      <c r="J160" t="str">
        <f>IF(AND($A160="Side",$F160=1),SUMPRODUCT(($A$2:$A160="Side")*($F$2:$F160=1)),"")</f>
        <v/>
      </c>
      <c r="K160" t="str">
        <f>IF(AND($A160="Drink",$F160=1),SUMPRODUCT(($A$2:$A160="Drink")*($F$2:$F160=1)),"")</f>
        <v/>
      </c>
      <c r="L160" t="str">
        <f>IF($F160=1,SUMPRODUCT(($F$2:$F160=1)*1),"")</f>
        <v/>
      </c>
    </row>
    <row r="161" spans="7:12">
      <c r="G161" t="str">
        <f>IF(AND($A161="Starter",$F161=1),SUMPRODUCT(($A$2:$A161="Starter")*($F$2:$F161=1)),"")</f>
        <v/>
      </c>
      <c r="H161" t="str">
        <f>IF(AND($A161="Main",$F161=1),SUMPRODUCT(($A$2:$A161="Main")*($F$2:$F161=1)),"")</f>
        <v/>
      </c>
      <c r="I161" t="str">
        <f>IF(AND($A161="Dessert",$F161=1),SUMPRODUCT(($A$2:$A161="Dessert")*($F$2:$F161=1)),"")</f>
        <v/>
      </c>
      <c r="J161" t="str">
        <f>IF(AND($A161="Side",$F161=1),SUMPRODUCT(($A$2:$A161="Side")*($F$2:$F161=1)),"")</f>
        <v/>
      </c>
      <c r="K161" t="str">
        <f>IF(AND($A161="Drink",$F161=1),SUMPRODUCT(($A$2:$A161="Drink")*($F$2:$F161=1)),"")</f>
        <v/>
      </c>
      <c r="L161" t="str">
        <f>IF($F161=1,SUMPRODUCT(($F$2:$F161=1)*1),"")</f>
        <v/>
      </c>
    </row>
    <row r="162" spans="7:12">
      <c r="G162" t="str">
        <f>IF(AND($A162="Starter",$F162=1),SUMPRODUCT(($A$2:$A162="Starter")*($F$2:$F162=1)),"")</f>
        <v/>
      </c>
      <c r="H162" t="str">
        <f>IF(AND($A162="Main",$F162=1),SUMPRODUCT(($A$2:$A162="Main")*($F$2:$F162=1)),"")</f>
        <v/>
      </c>
      <c r="I162" t="str">
        <f>IF(AND($A162="Dessert",$F162=1),SUMPRODUCT(($A$2:$A162="Dessert")*($F$2:$F162=1)),"")</f>
        <v/>
      </c>
      <c r="J162" t="str">
        <f>IF(AND($A162="Side",$F162=1),SUMPRODUCT(($A$2:$A162="Side")*($F$2:$F162=1)),"")</f>
        <v/>
      </c>
      <c r="K162" t="str">
        <f>IF(AND($A162="Drink",$F162=1),SUMPRODUCT(($A$2:$A162="Drink")*($F$2:$F162=1)),"")</f>
        <v/>
      </c>
      <c r="L162" t="str">
        <f>IF($F162=1,SUMPRODUCT(($F$2:$F162=1)*1),"")</f>
        <v/>
      </c>
    </row>
    <row r="163" spans="7:12">
      <c r="G163" t="str">
        <f>IF(AND($A163="Starter",$F163=1),SUMPRODUCT(($A$2:$A163="Starter")*($F$2:$F163=1)),"")</f>
        <v/>
      </c>
      <c r="H163" t="str">
        <f>IF(AND($A163="Main",$F163=1),SUMPRODUCT(($A$2:$A163="Main")*($F$2:$F163=1)),"")</f>
        <v/>
      </c>
      <c r="I163" t="str">
        <f>IF(AND($A163="Dessert",$F163=1),SUMPRODUCT(($A$2:$A163="Dessert")*($F$2:$F163=1)),"")</f>
        <v/>
      </c>
      <c r="J163" t="str">
        <f>IF(AND($A163="Side",$F163=1),SUMPRODUCT(($A$2:$A163="Side")*($F$2:$F163=1)),"")</f>
        <v/>
      </c>
      <c r="K163" t="str">
        <f>IF(AND($A163="Drink",$F163=1),SUMPRODUCT(($A$2:$A163="Drink")*($F$2:$F163=1)),"")</f>
        <v/>
      </c>
      <c r="L163" t="str">
        <f>IF($F163=1,SUMPRODUCT(($F$2:$F163=1)*1),"")</f>
        <v/>
      </c>
    </row>
    <row r="164" spans="7:12">
      <c r="G164" t="str">
        <f>IF(AND($A164="Starter",$F164=1),SUMPRODUCT(($A$2:$A164="Starter")*($F$2:$F164=1)),"")</f>
        <v/>
      </c>
      <c r="H164" t="str">
        <f>IF(AND($A164="Main",$F164=1),SUMPRODUCT(($A$2:$A164="Main")*($F$2:$F164=1)),"")</f>
        <v/>
      </c>
      <c r="I164" t="str">
        <f>IF(AND($A164="Dessert",$F164=1),SUMPRODUCT(($A$2:$A164="Dessert")*($F$2:$F164=1)),"")</f>
        <v/>
      </c>
      <c r="J164" t="str">
        <f>IF(AND($A164="Side",$F164=1),SUMPRODUCT(($A$2:$A164="Side")*($F$2:$F164=1)),"")</f>
        <v/>
      </c>
      <c r="K164" t="str">
        <f>IF(AND($A164="Drink",$F164=1),SUMPRODUCT(($A$2:$A164="Drink")*($F$2:$F164=1)),"")</f>
        <v/>
      </c>
      <c r="L164" t="str">
        <f>IF($F164=1,SUMPRODUCT(($F$2:$F164=1)*1),"")</f>
        <v/>
      </c>
    </row>
    <row r="165" spans="7:12">
      <c r="G165" t="str">
        <f>IF(AND($A165="Starter",$F165=1),SUMPRODUCT(($A$2:$A165="Starter")*($F$2:$F165=1)),"")</f>
        <v/>
      </c>
      <c r="H165" t="str">
        <f>IF(AND($A165="Main",$F165=1),SUMPRODUCT(($A$2:$A165="Main")*($F$2:$F165=1)),"")</f>
        <v/>
      </c>
      <c r="I165" t="str">
        <f>IF(AND($A165="Dessert",$F165=1),SUMPRODUCT(($A$2:$A165="Dessert")*($F$2:$F165=1)),"")</f>
        <v/>
      </c>
      <c r="J165" t="str">
        <f>IF(AND($A165="Side",$F165=1),SUMPRODUCT(($A$2:$A165="Side")*($F$2:$F165=1)),"")</f>
        <v/>
      </c>
      <c r="K165" t="str">
        <f>IF(AND($A165="Drink",$F165=1),SUMPRODUCT(($A$2:$A165="Drink")*($F$2:$F165=1)),"")</f>
        <v/>
      </c>
      <c r="L165" t="str">
        <f>IF($F165=1,SUMPRODUCT(($F$2:$F165=1)*1),"")</f>
        <v/>
      </c>
    </row>
    <row r="166" spans="7:12">
      <c r="G166" t="str">
        <f>IF(AND($A166="Starter",$F166=1),SUMPRODUCT(($A$2:$A166="Starter")*($F$2:$F166=1)),"")</f>
        <v/>
      </c>
      <c r="H166" t="str">
        <f>IF(AND($A166="Main",$F166=1),SUMPRODUCT(($A$2:$A166="Main")*($F$2:$F166=1)),"")</f>
        <v/>
      </c>
      <c r="I166" t="str">
        <f>IF(AND($A166="Dessert",$F166=1),SUMPRODUCT(($A$2:$A166="Dessert")*($F$2:$F166=1)),"")</f>
        <v/>
      </c>
      <c r="J166" t="str">
        <f>IF(AND($A166="Side",$F166=1),SUMPRODUCT(($A$2:$A166="Side")*($F$2:$F166=1)),"")</f>
        <v/>
      </c>
      <c r="K166" t="str">
        <f>IF(AND($A166="Drink",$F166=1),SUMPRODUCT(($A$2:$A166="Drink")*($F$2:$F166=1)),"")</f>
        <v/>
      </c>
      <c r="L166" t="str">
        <f>IF($F166=1,SUMPRODUCT(($F$2:$F166=1)*1),"")</f>
        <v/>
      </c>
    </row>
    <row r="167" spans="7:12">
      <c r="G167" t="str">
        <f>IF(AND($A167="Starter",$F167=1),SUMPRODUCT(($A$2:$A167="Starter")*($F$2:$F167=1)),"")</f>
        <v/>
      </c>
      <c r="H167" t="str">
        <f>IF(AND($A167="Main",$F167=1),SUMPRODUCT(($A$2:$A167="Main")*($F$2:$F167=1)),"")</f>
        <v/>
      </c>
      <c r="I167" t="str">
        <f>IF(AND($A167="Dessert",$F167=1),SUMPRODUCT(($A$2:$A167="Dessert")*($F$2:$F167=1)),"")</f>
        <v/>
      </c>
      <c r="J167" t="str">
        <f>IF(AND($A167="Side",$F167=1),SUMPRODUCT(($A$2:$A167="Side")*($F$2:$F167=1)),"")</f>
        <v/>
      </c>
      <c r="K167" t="str">
        <f>IF(AND($A167="Drink",$F167=1),SUMPRODUCT(($A$2:$A167="Drink")*($F$2:$F167=1)),"")</f>
        <v/>
      </c>
      <c r="L167" t="str">
        <f>IF($F167=1,SUMPRODUCT(($F$2:$F167=1)*1),"")</f>
        <v/>
      </c>
    </row>
    <row r="168" spans="7:12">
      <c r="G168" t="str">
        <f>IF(AND($A168="Starter",$F168=1),SUMPRODUCT(($A$2:$A168="Starter")*($F$2:$F168=1)),"")</f>
        <v/>
      </c>
      <c r="H168" t="str">
        <f>IF(AND($A168="Main",$F168=1),SUMPRODUCT(($A$2:$A168="Main")*($F$2:$F168=1)),"")</f>
        <v/>
      </c>
      <c r="I168" t="str">
        <f>IF(AND($A168="Dessert",$F168=1),SUMPRODUCT(($A$2:$A168="Dessert")*($F$2:$F168=1)),"")</f>
        <v/>
      </c>
      <c r="J168" t="str">
        <f>IF(AND($A168="Side",$F168=1),SUMPRODUCT(($A$2:$A168="Side")*($F$2:$F168=1)),"")</f>
        <v/>
      </c>
      <c r="K168" t="str">
        <f>IF(AND($A168="Drink",$F168=1),SUMPRODUCT(($A$2:$A168="Drink")*($F$2:$F168=1)),"")</f>
        <v/>
      </c>
      <c r="L168" t="str">
        <f>IF($F168=1,SUMPRODUCT(($F$2:$F168=1)*1),"")</f>
        <v/>
      </c>
    </row>
    <row r="169" spans="7:12">
      <c r="G169" t="str">
        <f>IF(AND($A169="Starter",$F169=1),SUMPRODUCT(($A$2:$A169="Starter")*($F$2:$F169=1)),"")</f>
        <v/>
      </c>
      <c r="H169" t="str">
        <f>IF(AND($A169="Main",$F169=1),SUMPRODUCT(($A$2:$A169="Main")*($F$2:$F169=1)),"")</f>
        <v/>
      </c>
      <c r="I169" t="str">
        <f>IF(AND($A169="Dessert",$F169=1),SUMPRODUCT(($A$2:$A169="Dessert")*($F$2:$F169=1)),"")</f>
        <v/>
      </c>
      <c r="J169" t="str">
        <f>IF(AND($A169="Side",$F169=1),SUMPRODUCT(($A$2:$A169="Side")*($F$2:$F169=1)),"")</f>
        <v/>
      </c>
      <c r="K169" t="str">
        <f>IF(AND($A169="Drink",$F169=1),SUMPRODUCT(($A$2:$A169="Drink")*($F$2:$F169=1)),"")</f>
        <v/>
      </c>
      <c r="L169" t="str">
        <f>IF($F169=1,SUMPRODUCT(($F$2:$F169=1)*1),"")</f>
        <v/>
      </c>
    </row>
    <row r="170" spans="7:12">
      <c r="G170" t="str">
        <f>IF(AND($A170="Starter",$F170=1),SUMPRODUCT(($A$2:$A170="Starter")*($F$2:$F170=1)),"")</f>
        <v/>
      </c>
      <c r="H170" t="str">
        <f>IF(AND($A170="Main",$F170=1),SUMPRODUCT(($A$2:$A170="Main")*($F$2:$F170=1)),"")</f>
        <v/>
      </c>
      <c r="I170" t="str">
        <f>IF(AND($A170="Dessert",$F170=1),SUMPRODUCT(($A$2:$A170="Dessert")*($F$2:$F170=1)),"")</f>
        <v/>
      </c>
      <c r="J170" t="str">
        <f>IF(AND($A170="Side",$F170=1),SUMPRODUCT(($A$2:$A170="Side")*($F$2:$F170=1)),"")</f>
        <v/>
      </c>
      <c r="K170" t="str">
        <f>IF(AND($A170="Drink",$F170=1),SUMPRODUCT(($A$2:$A170="Drink")*($F$2:$F170=1)),"")</f>
        <v/>
      </c>
      <c r="L170" t="str">
        <f>IF($F170=1,SUMPRODUCT(($F$2:$F170=1)*1),"")</f>
        <v/>
      </c>
    </row>
    <row r="171" spans="7:12">
      <c r="G171" t="str">
        <f>IF(AND($A171="Starter",$F171=1),SUMPRODUCT(($A$2:$A171="Starter")*($F$2:$F171=1)),"")</f>
        <v/>
      </c>
      <c r="H171" t="str">
        <f>IF(AND($A171="Main",$F171=1),SUMPRODUCT(($A$2:$A171="Main")*($F$2:$F171=1)),"")</f>
        <v/>
      </c>
      <c r="I171" t="str">
        <f>IF(AND($A171="Dessert",$F171=1),SUMPRODUCT(($A$2:$A171="Dessert")*($F$2:$F171=1)),"")</f>
        <v/>
      </c>
      <c r="J171" t="str">
        <f>IF(AND($A171="Side",$F171=1),SUMPRODUCT(($A$2:$A171="Side")*($F$2:$F171=1)),"")</f>
        <v/>
      </c>
      <c r="K171" t="str">
        <f>IF(AND($A171="Drink",$F171=1),SUMPRODUCT(($A$2:$A171="Drink")*($F$2:$F171=1)),"")</f>
        <v/>
      </c>
      <c r="L171" t="str">
        <f>IF($F171=1,SUMPRODUCT(($F$2:$F171=1)*1),"")</f>
        <v/>
      </c>
    </row>
    <row r="172" spans="7:12">
      <c r="G172" t="str">
        <f>IF(AND($A172="Starter",$F172=1),SUMPRODUCT(($A$2:$A172="Starter")*($F$2:$F172=1)),"")</f>
        <v/>
      </c>
      <c r="H172" t="str">
        <f>IF(AND($A172="Main",$F172=1),SUMPRODUCT(($A$2:$A172="Main")*($F$2:$F172=1)),"")</f>
        <v/>
      </c>
      <c r="I172" t="str">
        <f>IF(AND($A172="Dessert",$F172=1),SUMPRODUCT(($A$2:$A172="Dessert")*($F$2:$F172=1)),"")</f>
        <v/>
      </c>
      <c r="J172" t="str">
        <f>IF(AND($A172="Side",$F172=1),SUMPRODUCT(($A$2:$A172="Side")*($F$2:$F172=1)),"")</f>
        <v/>
      </c>
      <c r="K172" t="str">
        <f>IF(AND($A172="Drink",$F172=1),SUMPRODUCT(($A$2:$A172="Drink")*($F$2:$F172=1)),"")</f>
        <v/>
      </c>
      <c r="L172" t="str">
        <f>IF($F172=1,SUMPRODUCT(($F$2:$F172=1)*1),"")</f>
        <v/>
      </c>
    </row>
    <row r="173" spans="7:12">
      <c r="G173" t="str">
        <f>IF(AND($A173="Starter",$F173=1),SUMPRODUCT(($A$2:$A173="Starter")*($F$2:$F173=1)),"")</f>
        <v/>
      </c>
      <c r="H173" t="str">
        <f>IF(AND($A173="Main",$F173=1),SUMPRODUCT(($A$2:$A173="Main")*($F$2:$F173=1)),"")</f>
        <v/>
      </c>
      <c r="I173" t="str">
        <f>IF(AND($A173="Dessert",$F173=1),SUMPRODUCT(($A$2:$A173="Dessert")*($F$2:$F173=1)),"")</f>
        <v/>
      </c>
      <c r="J173" t="str">
        <f>IF(AND($A173="Side",$F173=1),SUMPRODUCT(($A$2:$A173="Side")*($F$2:$F173=1)),"")</f>
        <v/>
      </c>
      <c r="K173" t="str">
        <f>IF(AND($A173="Drink",$F173=1),SUMPRODUCT(($A$2:$A173="Drink")*($F$2:$F173=1)),"")</f>
        <v/>
      </c>
      <c r="L173" t="str">
        <f>IF($F173=1,SUMPRODUCT(($F$2:$F173=1)*1),"")</f>
        <v/>
      </c>
    </row>
    <row r="174" spans="7:12">
      <c r="G174" t="str">
        <f>IF(AND($A174="Starter",$F174=1),SUMPRODUCT(($A$2:$A174="Starter")*($F$2:$F174=1)),"")</f>
        <v/>
      </c>
      <c r="H174" t="str">
        <f>IF(AND($A174="Main",$F174=1),SUMPRODUCT(($A$2:$A174="Main")*($F$2:$F174=1)),"")</f>
        <v/>
      </c>
      <c r="I174" t="str">
        <f>IF(AND($A174="Dessert",$F174=1),SUMPRODUCT(($A$2:$A174="Dessert")*($F$2:$F174=1)),"")</f>
        <v/>
      </c>
      <c r="J174" t="str">
        <f>IF(AND($A174="Side",$F174=1),SUMPRODUCT(($A$2:$A174="Side")*($F$2:$F174=1)),"")</f>
        <v/>
      </c>
      <c r="K174" t="str">
        <f>IF(AND($A174="Drink",$F174=1),SUMPRODUCT(($A$2:$A174="Drink")*($F$2:$F174=1)),"")</f>
        <v/>
      </c>
      <c r="L174" t="str">
        <f>IF($F174=1,SUMPRODUCT(($F$2:$F174=1)*1),"")</f>
        <v/>
      </c>
    </row>
    <row r="175" spans="7:12">
      <c r="G175" t="str">
        <f>IF(AND($A175="Starter",$F175=1),SUMPRODUCT(($A$2:$A175="Starter")*($F$2:$F175=1)),"")</f>
        <v/>
      </c>
      <c r="H175" t="str">
        <f>IF(AND($A175="Main",$F175=1),SUMPRODUCT(($A$2:$A175="Main")*($F$2:$F175=1)),"")</f>
        <v/>
      </c>
      <c r="I175" t="str">
        <f>IF(AND($A175="Dessert",$F175=1),SUMPRODUCT(($A$2:$A175="Dessert")*($F$2:$F175=1)),"")</f>
        <v/>
      </c>
      <c r="J175" t="str">
        <f>IF(AND($A175="Side",$F175=1),SUMPRODUCT(($A$2:$A175="Side")*($F$2:$F175=1)),"")</f>
        <v/>
      </c>
      <c r="K175" t="str">
        <f>IF(AND($A175="Drink",$F175=1),SUMPRODUCT(($A$2:$A175="Drink")*($F$2:$F175=1)),"")</f>
        <v/>
      </c>
      <c r="L175" t="str">
        <f>IF($F175=1,SUMPRODUCT(($F$2:$F175=1)*1),"")</f>
        <v/>
      </c>
    </row>
    <row r="176" spans="7:12">
      <c r="G176" t="str">
        <f>IF(AND($A176="Starter",$F176=1),SUMPRODUCT(($A$2:$A176="Starter")*($F$2:$F176=1)),"")</f>
        <v/>
      </c>
      <c r="H176" t="str">
        <f>IF(AND($A176="Main",$F176=1),SUMPRODUCT(($A$2:$A176="Main")*($F$2:$F176=1)),"")</f>
        <v/>
      </c>
      <c r="I176" t="str">
        <f>IF(AND($A176="Dessert",$F176=1),SUMPRODUCT(($A$2:$A176="Dessert")*($F$2:$F176=1)),"")</f>
        <v/>
      </c>
      <c r="J176" t="str">
        <f>IF(AND($A176="Side",$F176=1),SUMPRODUCT(($A$2:$A176="Side")*($F$2:$F176=1)),"")</f>
        <v/>
      </c>
      <c r="K176" t="str">
        <f>IF(AND($A176="Drink",$F176=1),SUMPRODUCT(($A$2:$A176="Drink")*($F$2:$F176=1)),"")</f>
        <v/>
      </c>
      <c r="L176" t="str">
        <f>IF($F176=1,SUMPRODUCT(($F$2:$F176=1)*1),"")</f>
        <v/>
      </c>
    </row>
    <row r="177" spans="7:12">
      <c r="G177" t="str">
        <f>IF(AND($A177="Starter",$F177=1),SUMPRODUCT(($A$2:$A177="Starter")*($F$2:$F177=1)),"")</f>
        <v/>
      </c>
      <c r="H177" t="str">
        <f>IF(AND($A177="Main",$F177=1),SUMPRODUCT(($A$2:$A177="Main")*($F$2:$F177=1)),"")</f>
        <v/>
      </c>
      <c r="I177" t="str">
        <f>IF(AND($A177="Dessert",$F177=1),SUMPRODUCT(($A$2:$A177="Dessert")*($F$2:$F177=1)),"")</f>
        <v/>
      </c>
      <c r="J177" t="str">
        <f>IF(AND($A177="Side",$F177=1),SUMPRODUCT(($A$2:$A177="Side")*($F$2:$F177=1)),"")</f>
        <v/>
      </c>
      <c r="K177" t="str">
        <f>IF(AND($A177="Drink",$F177=1),SUMPRODUCT(($A$2:$A177="Drink")*($F$2:$F177=1)),"")</f>
        <v/>
      </c>
      <c r="L177" t="str">
        <f>IF($F177=1,SUMPRODUCT(($F$2:$F177=1)*1),"")</f>
        <v/>
      </c>
    </row>
    <row r="178" spans="7:12">
      <c r="G178" t="str">
        <f>IF(AND($A178="Starter",$F178=1),SUMPRODUCT(($A$2:$A178="Starter")*($F$2:$F178=1)),"")</f>
        <v/>
      </c>
      <c r="H178" t="str">
        <f>IF(AND($A178="Main",$F178=1),SUMPRODUCT(($A$2:$A178="Main")*($F$2:$F178=1)),"")</f>
        <v/>
      </c>
      <c r="I178" t="str">
        <f>IF(AND($A178="Dessert",$F178=1),SUMPRODUCT(($A$2:$A178="Dessert")*($F$2:$F178=1)),"")</f>
        <v/>
      </c>
      <c r="J178" t="str">
        <f>IF(AND($A178="Side",$F178=1),SUMPRODUCT(($A$2:$A178="Side")*($F$2:$F178=1)),"")</f>
        <v/>
      </c>
      <c r="K178" t="str">
        <f>IF(AND($A178="Drink",$F178=1),SUMPRODUCT(($A$2:$A178="Drink")*($F$2:$F178=1)),"")</f>
        <v/>
      </c>
      <c r="L178" t="str">
        <f>IF($F178=1,SUMPRODUCT(($F$2:$F178=1)*1),"")</f>
        <v/>
      </c>
    </row>
    <row r="179" spans="7:12">
      <c r="G179" t="str">
        <f>IF(AND($A179="Starter",$F179=1),SUMPRODUCT(($A$2:$A179="Starter")*($F$2:$F179=1)),"")</f>
        <v/>
      </c>
      <c r="H179" t="str">
        <f>IF(AND($A179="Main",$F179=1),SUMPRODUCT(($A$2:$A179="Main")*($F$2:$F179=1)),"")</f>
        <v/>
      </c>
      <c r="I179" t="str">
        <f>IF(AND($A179="Dessert",$F179=1),SUMPRODUCT(($A$2:$A179="Dessert")*($F$2:$F179=1)),"")</f>
        <v/>
      </c>
      <c r="J179" t="str">
        <f>IF(AND($A179="Side",$F179=1),SUMPRODUCT(($A$2:$A179="Side")*($F$2:$F179=1)),"")</f>
        <v/>
      </c>
      <c r="K179" t="str">
        <f>IF(AND($A179="Drink",$F179=1),SUMPRODUCT(($A$2:$A179="Drink")*($F$2:$F179=1)),"")</f>
        <v/>
      </c>
      <c r="L179" t="str">
        <f>IF($F179=1,SUMPRODUCT(($F$2:$F179=1)*1),"")</f>
        <v/>
      </c>
    </row>
    <row r="180" spans="7:12">
      <c r="G180" t="str">
        <f>IF(AND($A180="Starter",$F180=1),SUMPRODUCT(($A$2:$A180="Starter")*($F$2:$F180=1)),"")</f>
        <v/>
      </c>
      <c r="H180" t="str">
        <f>IF(AND($A180="Main",$F180=1),SUMPRODUCT(($A$2:$A180="Main")*($F$2:$F180=1)),"")</f>
        <v/>
      </c>
      <c r="I180" t="str">
        <f>IF(AND($A180="Dessert",$F180=1),SUMPRODUCT(($A$2:$A180="Dessert")*($F$2:$F180=1)),"")</f>
        <v/>
      </c>
      <c r="J180" t="str">
        <f>IF(AND($A180="Side",$F180=1),SUMPRODUCT(($A$2:$A180="Side")*($F$2:$F180=1)),"")</f>
        <v/>
      </c>
      <c r="K180" t="str">
        <f>IF(AND($A180="Drink",$F180=1),SUMPRODUCT(($A$2:$A180="Drink")*($F$2:$F180=1)),"")</f>
        <v/>
      </c>
      <c r="L180" t="str">
        <f>IF($F180=1,SUMPRODUCT(($F$2:$F180=1)*1),"")</f>
        <v/>
      </c>
    </row>
    <row r="181" spans="7:12">
      <c r="G181" t="str">
        <f>IF(AND($A181="Starter",$F181=1),SUMPRODUCT(($A$2:$A181="Starter")*($F$2:$F181=1)),"")</f>
        <v/>
      </c>
      <c r="H181" t="str">
        <f>IF(AND($A181="Main",$F181=1),SUMPRODUCT(($A$2:$A181="Main")*($F$2:$F181=1)),"")</f>
        <v/>
      </c>
      <c r="I181" t="str">
        <f>IF(AND($A181="Dessert",$F181=1),SUMPRODUCT(($A$2:$A181="Dessert")*($F$2:$F181=1)),"")</f>
        <v/>
      </c>
      <c r="J181" t="str">
        <f>IF(AND($A181="Side",$F181=1),SUMPRODUCT(($A$2:$A181="Side")*($F$2:$F181=1)),"")</f>
        <v/>
      </c>
      <c r="K181" t="str">
        <f>IF(AND($A181="Drink",$F181=1),SUMPRODUCT(($A$2:$A181="Drink")*($F$2:$F181=1)),"")</f>
        <v/>
      </c>
      <c r="L181" t="str">
        <f>IF($F181=1,SUMPRODUCT(($F$2:$F181=1)*1),"")</f>
        <v/>
      </c>
    </row>
    <row r="182" spans="7:12">
      <c r="G182" t="str">
        <f>IF(AND($A182="Starter",$F182=1),SUMPRODUCT(($A$2:$A182="Starter")*($F$2:$F182=1)),"")</f>
        <v/>
      </c>
      <c r="H182" t="str">
        <f>IF(AND($A182="Main",$F182=1),SUMPRODUCT(($A$2:$A182="Main")*($F$2:$F182=1)),"")</f>
        <v/>
      </c>
      <c r="I182" t="str">
        <f>IF(AND($A182="Dessert",$F182=1),SUMPRODUCT(($A$2:$A182="Dessert")*($F$2:$F182=1)),"")</f>
        <v/>
      </c>
      <c r="J182" t="str">
        <f>IF(AND($A182="Side",$F182=1),SUMPRODUCT(($A$2:$A182="Side")*($F$2:$F182=1)),"")</f>
        <v/>
      </c>
      <c r="K182" t="str">
        <f>IF(AND($A182="Drink",$F182=1),SUMPRODUCT(($A$2:$A182="Drink")*($F$2:$F182=1)),"")</f>
        <v/>
      </c>
      <c r="L182" t="str">
        <f>IF($F182=1,SUMPRODUCT(($F$2:$F182=1)*1),"")</f>
        <v/>
      </c>
    </row>
    <row r="183" spans="7:12">
      <c r="G183" t="str">
        <f>IF(AND($A183="Starter",$F183=1),SUMPRODUCT(($A$2:$A183="Starter")*($F$2:$F183=1)),"")</f>
        <v/>
      </c>
      <c r="H183" t="str">
        <f>IF(AND($A183="Main",$F183=1),SUMPRODUCT(($A$2:$A183="Main")*($F$2:$F183=1)),"")</f>
        <v/>
      </c>
      <c r="I183" t="str">
        <f>IF(AND($A183="Dessert",$F183=1),SUMPRODUCT(($A$2:$A183="Dessert")*($F$2:$F183=1)),"")</f>
        <v/>
      </c>
      <c r="J183" t="str">
        <f>IF(AND($A183="Side",$F183=1),SUMPRODUCT(($A$2:$A183="Side")*($F$2:$F183=1)),"")</f>
        <v/>
      </c>
      <c r="K183" t="str">
        <f>IF(AND($A183="Drink",$F183=1),SUMPRODUCT(($A$2:$A183="Drink")*($F$2:$F183=1)),"")</f>
        <v/>
      </c>
      <c r="L183" t="str">
        <f>IF($F183=1,SUMPRODUCT(($F$2:$F183=1)*1),"")</f>
        <v/>
      </c>
    </row>
    <row r="184" spans="7:12">
      <c r="G184" t="str">
        <f>IF(AND($A184="Starter",$F184=1),SUMPRODUCT(($A$2:$A184="Starter")*($F$2:$F184=1)),"")</f>
        <v/>
      </c>
      <c r="H184" t="str">
        <f>IF(AND($A184="Main",$F184=1),SUMPRODUCT(($A$2:$A184="Main")*($F$2:$F184=1)),"")</f>
        <v/>
      </c>
      <c r="I184" t="str">
        <f>IF(AND($A184="Dessert",$F184=1),SUMPRODUCT(($A$2:$A184="Dessert")*($F$2:$F184=1)),"")</f>
        <v/>
      </c>
      <c r="J184" t="str">
        <f>IF(AND($A184="Side",$F184=1),SUMPRODUCT(($A$2:$A184="Side")*($F$2:$F184=1)),"")</f>
        <v/>
      </c>
      <c r="K184" t="str">
        <f>IF(AND($A184="Drink",$F184=1),SUMPRODUCT(($A$2:$A184="Drink")*($F$2:$F184=1)),"")</f>
        <v/>
      </c>
      <c r="L184" t="str">
        <f>IF($F184=1,SUMPRODUCT(($F$2:$F184=1)*1),"")</f>
        <v/>
      </c>
    </row>
    <row r="185" spans="7:12">
      <c r="G185" t="str">
        <f>IF(AND($A185="Starter",$F185=1),SUMPRODUCT(($A$2:$A185="Starter")*($F$2:$F185=1)),"")</f>
        <v/>
      </c>
      <c r="H185" t="str">
        <f>IF(AND($A185="Main",$F185=1),SUMPRODUCT(($A$2:$A185="Main")*($F$2:$F185=1)),"")</f>
        <v/>
      </c>
      <c r="I185" t="str">
        <f>IF(AND($A185="Dessert",$F185=1),SUMPRODUCT(($A$2:$A185="Dessert")*($F$2:$F185=1)),"")</f>
        <v/>
      </c>
      <c r="J185" t="str">
        <f>IF(AND($A185="Side",$F185=1),SUMPRODUCT(($A$2:$A185="Side")*($F$2:$F185=1)),"")</f>
        <v/>
      </c>
      <c r="K185" t="str">
        <f>IF(AND($A185="Drink",$F185=1),SUMPRODUCT(($A$2:$A185="Drink")*($F$2:$F185=1)),"")</f>
        <v/>
      </c>
      <c r="L185" t="str">
        <f>IF($F185=1,SUMPRODUCT(($F$2:$F185=1)*1),"")</f>
        <v/>
      </c>
    </row>
    <row r="186" spans="7:12">
      <c r="G186" t="str">
        <f>IF(AND($A186="Starter",$F186=1),SUMPRODUCT(($A$2:$A186="Starter")*($F$2:$F186=1)),"")</f>
        <v/>
      </c>
      <c r="H186" t="str">
        <f>IF(AND($A186="Main",$F186=1),SUMPRODUCT(($A$2:$A186="Main")*($F$2:$F186=1)),"")</f>
        <v/>
      </c>
      <c r="I186" t="str">
        <f>IF(AND($A186="Dessert",$F186=1),SUMPRODUCT(($A$2:$A186="Dessert")*($F$2:$F186=1)),"")</f>
        <v/>
      </c>
      <c r="J186" t="str">
        <f>IF(AND($A186="Side",$F186=1),SUMPRODUCT(($A$2:$A186="Side")*($F$2:$F186=1)),"")</f>
        <v/>
      </c>
      <c r="K186" t="str">
        <f>IF(AND($A186="Drink",$F186=1),SUMPRODUCT(($A$2:$A186="Drink")*($F$2:$F186=1)),"")</f>
        <v/>
      </c>
      <c r="L186" t="str">
        <f>IF($F186=1,SUMPRODUCT(($F$2:$F186=1)*1),"")</f>
        <v/>
      </c>
    </row>
    <row r="187" spans="7:12">
      <c r="G187" t="str">
        <f>IF(AND($A187="Starter",$F187=1),SUMPRODUCT(($A$2:$A187="Starter")*($F$2:$F187=1)),"")</f>
        <v/>
      </c>
      <c r="H187" t="str">
        <f>IF(AND($A187="Main",$F187=1),SUMPRODUCT(($A$2:$A187="Main")*($F$2:$F187=1)),"")</f>
        <v/>
      </c>
      <c r="I187" t="str">
        <f>IF(AND($A187="Dessert",$F187=1),SUMPRODUCT(($A$2:$A187="Dessert")*($F$2:$F187=1)),"")</f>
        <v/>
      </c>
      <c r="J187" t="str">
        <f>IF(AND($A187="Side",$F187=1),SUMPRODUCT(($A$2:$A187="Side")*($F$2:$F187=1)),"")</f>
        <v/>
      </c>
      <c r="K187" t="str">
        <f>IF(AND($A187="Drink",$F187=1),SUMPRODUCT(($A$2:$A187="Drink")*($F$2:$F187=1)),"")</f>
        <v/>
      </c>
      <c r="L187" t="str">
        <f>IF($F187=1,SUMPRODUCT(($F$2:$F187=1)*1),"")</f>
        <v/>
      </c>
    </row>
    <row r="188" spans="7:12">
      <c r="G188" t="str">
        <f>IF(AND($A188="Starter",$F188=1),SUMPRODUCT(($A$2:$A188="Starter")*($F$2:$F188=1)),"")</f>
        <v/>
      </c>
      <c r="H188" t="str">
        <f>IF(AND($A188="Main",$F188=1),SUMPRODUCT(($A$2:$A188="Main")*($F$2:$F188=1)),"")</f>
        <v/>
      </c>
      <c r="I188" t="str">
        <f>IF(AND($A188="Dessert",$F188=1),SUMPRODUCT(($A$2:$A188="Dessert")*($F$2:$F188=1)),"")</f>
        <v/>
      </c>
      <c r="J188" t="str">
        <f>IF(AND($A188="Side",$F188=1),SUMPRODUCT(($A$2:$A188="Side")*($F$2:$F188=1)),"")</f>
        <v/>
      </c>
      <c r="K188" t="str">
        <f>IF(AND($A188="Drink",$F188=1),SUMPRODUCT(($A$2:$A188="Drink")*($F$2:$F188=1)),"")</f>
        <v/>
      </c>
      <c r="L188" t="str">
        <f>IF($F188=1,SUMPRODUCT(($F$2:$F188=1)*1),"")</f>
        <v/>
      </c>
    </row>
    <row r="189" spans="7:12">
      <c r="G189" t="str">
        <f>IF(AND($A189="Starter",$F189=1),SUMPRODUCT(($A$2:$A189="Starter")*($F$2:$F189=1)),"")</f>
        <v/>
      </c>
      <c r="H189" t="str">
        <f>IF(AND($A189="Main",$F189=1),SUMPRODUCT(($A$2:$A189="Main")*($F$2:$F189=1)),"")</f>
        <v/>
      </c>
      <c r="I189" t="str">
        <f>IF(AND($A189="Dessert",$F189=1),SUMPRODUCT(($A$2:$A189="Dessert")*($F$2:$F189=1)),"")</f>
        <v/>
      </c>
      <c r="J189" t="str">
        <f>IF(AND($A189="Side",$F189=1),SUMPRODUCT(($A$2:$A189="Side")*($F$2:$F189=1)),"")</f>
        <v/>
      </c>
      <c r="K189" t="str">
        <f>IF(AND($A189="Drink",$F189=1),SUMPRODUCT(($A$2:$A189="Drink")*($F$2:$F189=1)),"")</f>
        <v/>
      </c>
      <c r="L189" t="str">
        <f>IF($F189=1,SUMPRODUCT(($F$2:$F189=1)*1),"")</f>
        <v/>
      </c>
    </row>
    <row r="190" spans="7:12">
      <c r="G190" t="str">
        <f>IF(AND($A190="Starter",$F190=1),SUMPRODUCT(($A$2:$A190="Starter")*($F$2:$F190=1)),"")</f>
        <v/>
      </c>
      <c r="H190" t="str">
        <f>IF(AND($A190="Main",$F190=1),SUMPRODUCT(($A$2:$A190="Main")*($F$2:$F190=1)),"")</f>
        <v/>
      </c>
      <c r="I190" t="str">
        <f>IF(AND($A190="Dessert",$F190=1),SUMPRODUCT(($A$2:$A190="Dessert")*($F$2:$F190=1)),"")</f>
        <v/>
      </c>
      <c r="J190" t="str">
        <f>IF(AND($A190="Side",$F190=1),SUMPRODUCT(($A$2:$A190="Side")*($F$2:$F190=1)),"")</f>
        <v/>
      </c>
      <c r="K190" t="str">
        <f>IF(AND($A190="Drink",$F190=1),SUMPRODUCT(($A$2:$A190="Drink")*($F$2:$F190=1)),"")</f>
        <v/>
      </c>
      <c r="L190" t="str">
        <f>IF($F190=1,SUMPRODUCT(($F$2:$F190=1)*1),"")</f>
        <v/>
      </c>
    </row>
    <row r="191" spans="7:12">
      <c r="G191" t="str">
        <f>IF(AND($A191="Starter",$F191=1),SUMPRODUCT(($A$2:$A191="Starter")*($F$2:$F191=1)),"")</f>
        <v/>
      </c>
      <c r="H191" t="str">
        <f>IF(AND($A191="Main",$F191=1),SUMPRODUCT(($A$2:$A191="Main")*($F$2:$F191=1)),"")</f>
        <v/>
      </c>
      <c r="I191" t="str">
        <f>IF(AND($A191="Dessert",$F191=1),SUMPRODUCT(($A$2:$A191="Dessert")*($F$2:$F191=1)),"")</f>
        <v/>
      </c>
      <c r="J191" t="str">
        <f>IF(AND($A191="Side",$F191=1),SUMPRODUCT(($A$2:$A191="Side")*($F$2:$F191=1)),"")</f>
        <v/>
      </c>
      <c r="K191" t="str">
        <f>IF(AND($A191="Drink",$F191=1),SUMPRODUCT(($A$2:$A191="Drink")*($F$2:$F191=1)),"")</f>
        <v/>
      </c>
      <c r="L191" t="str">
        <f>IF($F191=1,SUMPRODUCT(($F$2:$F191=1)*1),"")</f>
        <v/>
      </c>
    </row>
    <row r="192" spans="7:12">
      <c r="G192" t="str">
        <f>IF(AND($A192="Starter",$F192=1),SUMPRODUCT(($A$2:$A192="Starter")*($F$2:$F192=1)),"")</f>
        <v/>
      </c>
      <c r="H192" t="str">
        <f>IF(AND($A192="Main",$F192=1),SUMPRODUCT(($A$2:$A192="Main")*($F$2:$F192=1)),"")</f>
        <v/>
      </c>
      <c r="I192" t="str">
        <f>IF(AND($A192="Dessert",$F192=1),SUMPRODUCT(($A$2:$A192="Dessert")*($F$2:$F192=1)),"")</f>
        <v/>
      </c>
      <c r="J192" t="str">
        <f>IF(AND($A192="Side",$F192=1),SUMPRODUCT(($A$2:$A192="Side")*($F$2:$F192=1)),"")</f>
        <v/>
      </c>
      <c r="K192" t="str">
        <f>IF(AND($A192="Drink",$F192=1),SUMPRODUCT(($A$2:$A192="Drink")*($F$2:$F192=1)),"")</f>
        <v/>
      </c>
      <c r="L192" t="str">
        <f>IF($F192=1,SUMPRODUCT(($F$2:$F192=1)*1),"")</f>
        <v/>
      </c>
    </row>
    <row r="193" spans="7:12">
      <c r="G193" t="str">
        <f>IF(AND($A193="Starter",$F193=1),SUMPRODUCT(($A$2:$A193="Starter")*($F$2:$F193=1)),"")</f>
        <v/>
      </c>
      <c r="H193" t="str">
        <f>IF(AND($A193="Main",$F193=1),SUMPRODUCT(($A$2:$A193="Main")*($F$2:$F193=1)),"")</f>
        <v/>
      </c>
      <c r="I193" t="str">
        <f>IF(AND($A193="Dessert",$F193=1),SUMPRODUCT(($A$2:$A193="Dessert")*($F$2:$F193=1)),"")</f>
        <v/>
      </c>
      <c r="J193" t="str">
        <f>IF(AND($A193="Side",$F193=1),SUMPRODUCT(($A$2:$A193="Side")*($F$2:$F193=1)),"")</f>
        <v/>
      </c>
      <c r="K193" t="str">
        <f>IF(AND($A193="Drink",$F193=1),SUMPRODUCT(($A$2:$A193="Drink")*($F$2:$F193=1)),"")</f>
        <v/>
      </c>
      <c r="L193" t="str">
        <f>IF($F193=1,SUMPRODUCT(($F$2:$F193=1)*1),"")</f>
        <v/>
      </c>
    </row>
    <row r="194" spans="7:12">
      <c r="G194" t="str">
        <f>IF(AND($A194="Starter",$F194=1),SUMPRODUCT(($A$2:$A194="Starter")*($F$2:$F194=1)),"")</f>
        <v/>
      </c>
      <c r="H194" t="str">
        <f>IF(AND($A194="Main",$F194=1),SUMPRODUCT(($A$2:$A194="Main")*($F$2:$F194=1)),"")</f>
        <v/>
      </c>
      <c r="I194" t="str">
        <f>IF(AND($A194="Dessert",$F194=1),SUMPRODUCT(($A$2:$A194="Dessert")*($F$2:$F194=1)),"")</f>
        <v/>
      </c>
      <c r="J194" t="str">
        <f>IF(AND($A194="Side",$F194=1),SUMPRODUCT(($A$2:$A194="Side")*($F$2:$F194=1)),"")</f>
        <v/>
      </c>
      <c r="K194" t="str">
        <f>IF(AND($A194="Drink",$F194=1),SUMPRODUCT(($A$2:$A194="Drink")*($F$2:$F194=1)),"")</f>
        <v/>
      </c>
      <c r="L194" t="str">
        <f>IF($F194=1,SUMPRODUCT(($F$2:$F194=1)*1),"")</f>
        <v/>
      </c>
    </row>
    <row r="195" spans="7:12">
      <c r="G195" t="str">
        <f>IF(AND($A195="Starter",$F195=1),SUMPRODUCT(($A$2:$A195="Starter")*($F$2:$F195=1)),"")</f>
        <v/>
      </c>
      <c r="H195" t="str">
        <f>IF(AND($A195="Main",$F195=1),SUMPRODUCT(($A$2:$A195="Main")*($F$2:$F195=1)),"")</f>
        <v/>
      </c>
      <c r="I195" t="str">
        <f>IF(AND($A195="Dessert",$F195=1),SUMPRODUCT(($A$2:$A195="Dessert")*($F$2:$F195=1)),"")</f>
        <v/>
      </c>
      <c r="J195" t="str">
        <f>IF(AND($A195="Side",$F195=1),SUMPRODUCT(($A$2:$A195="Side")*($F$2:$F195=1)),"")</f>
        <v/>
      </c>
      <c r="K195" t="str">
        <f>IF(AND($A195="Drink",$F195=1),SUMPRODUCT(($A$2:$A195="Drink")*($F$2:$F195=1)),"")</f>
        <v/>
      </c>
      <c r="L195" t="str">
        <f>IF($F195=1,SUMPRODUCT(($F$2:$F195=1)*1),"")</f>
        <v/>
      </c>
    </row>
    <row r="196" spans="7:12">
      <c r="G196" t="str">
        <f>IF(AND($A196="Starter",$F196=1),SUMPRODUCT(($A$2:$A196="Starter")*($F$2:$F196=1)),"")</f>
        <v/>
      </c>
      <c r="H196" t="str">
        <f>IF(AND($A196="Main",$F196=1),SUMPRODUCT(($A$2:$A196="Main")*($F$2:$F196=1)),"")</f>
        <v/>
      </c>
      <c r="I196" t="str">
        <f>IF(AND($A196="Dessert",$F196=1),SUMPRODUCT(($A$2:$A196="Dessert")*($F$2:$F196=1)),"")</f>
        <v/>
      </c>
      <c r="J196" t="str">
        <f>IF(AND($A196="Side",$F196=1),SUMPRODUCT(($A$2:$A196="Side")*($F$2:$F196=1)),"")</f>
        <v/>
      </c>
      <c r="K196" t="str">
        <f>IF(AND($A196="Drink",$F196=1),SUMPRODUCT(($A$2:$A196="Drink")*($F$2:$F196=1)),"")</f>
        <v/>
      </c>
      <c r="L196" t="str">
        <f>IF($F196=1,SUMPRODUCT(($F$2:$F196=1)*1),"")</f>
        <v/>
      </c>
    </row>
    <row r="197" spans="7:12">
      <c r="G197" t="str">
        <f>IF(AND($A197="Starter",$F197=1),SUMPRODUCT(($A$2:$A197="Starter")*($F$2:$F197=1)),"")</f>
        <v/>
      </c>
      <c r="H197" t="str">
        <f>IF(AND($A197="Main",$F197=1),SUMPRODUCT(($A$2:$A197="Main")*($F$2:$F197=1)),"")</f>
        <v/>
      </c>
      <c r="I197" t="str">
        <f>IF(AND($A197="Dessert",$F197=1),SUMPRODUCT(($A$2:$A197="Dessert")*($F$2:$F197=1)),"")</f>
        <v/>
      </c>
      <c r="J197" t="str">
        <f>IF(AND($A197="Side",$F197=1),SUMPRODUCT(($A$2:$A197="Side")*($F$2:$F197=1)),"")</f>
        <v/>
      </c>
      <c r="K197" t="str">
        <f>IF(AND($A197="Drink",$F197=1),SUMPRODUCT(($A$2:$A197="Drink")*($F$2:$F197=1)),"")</f>
        <v/>
      </c>
      <c r="L197" t="str">
        <f>IF($F197=1,SUMPRODUCT(($F$2:$F197=1)*1),"")</f>
        <v/>
      </c>
    </row>
    <row r="198" spans="7:12">
      <c r="G198" t="str">
        <f>IF(AND($A198="Starter",$F198=1),SUMPRODUCT(($A$2:$A198="Starter")*($F$2:$F198=1)),"")</f>
        <v/>
      </c>
      <c r="H198" t="str">
        <f>IF(AND($A198="Main",$F198=1),SUMPRODUCT(($A$2:$A198="Main")*($F$2:$F198=1)),"")</f>
        <v/>
      </c>
      <c r="I198" t="str">
        <f>IF(AND($A198="Dessert",$F198=1),SUMPRODUCT(($A$2:$A198="Dessert")*($F$2:$F198=1)),"")</f>
        <v/>
      </c>
      <c r="J198" t="str">
        <f>IF(AND($A198="Side",$F198=1),SUMPRODUCT(($A$2:$A198="Side")*($F$2:$F198=1)),"")</f>
        <v/>
      </c>
      <c r="K198" t="str">
        <f>IF(AND($A198="Drink",$F198=1),SUMPRODUCT(($A$2:$A198="Drink")*($F$2:$F198=1)),"")</f>
        <v/>
      </c>
      <c r="L198" t="str">
        <f>IF($F198=1,SUMPRODUCT(($F$2:$F198=1)*1),"")</f>
        <v/>
      </c>
    </row>
    <row r="199" spans="7:12">
      <c r="G199" t="str">
        <f>IF(AND($A199="Starter",$F199=1),SUMPRODUCT(($A$2:$A199="Starter")*($F$2:$F199=1)),"")</f>
        <v/>
      </c>
      <c r="H199" t="str">
        <f>IF(AND($A199="Main",$F199=1),SUMPRODUCT(($A$2:$A199="Main")*($F$2:$F199=1)),"")</f>
        <v/>
      </c>
      <c r="I199" t="str">
        <f>IF(AND($A199="Dessert",$F199=1),SUMPRODUCT(($A$2:$A199="Dessert")*($F$2:$F199=1)),"")</f>
        <v/>
      </c>
      <c r="J199" t="str">
        <f>IF(AND($A199="Side",$F199=1),SUMPRODUCT(($A$2:$A199="Side")*($F$2:$F199=1)),"")</f>
        <v/>
      </c>
      <c r="K199" t="str">
        <f>IF(AND($A199="Drink",$F199=1),SUMPRODUCT(($A$2:$A199="Drink")*($F$2:$F199=1)),"")</f>
        <v/>
      </c>
      <c r="L199" t="str">
        <f>IF($F199=1,SUMPRODUCT(($F$2:$F199=1)*1),"")</f>
        <v/>
      </c>
    </row>
    <row r="200" spans="7:12">
      <c r="G200" t="str">
        <f>IF(AND($A200="Starter",$F200=1),SUMPRODUCT(($A$2:$A200="Starter")*($F$2:$F200=1)),"")</f>
        <v/>
      </c>
      <c r="H200" t="str">
        <f>IF(AND($A200="Main",$F200=1),SUMPRODUCT(($A$2:$A200="Main")*($F$2:$F200=1)),"")</f>
        <v/>
      </c>
      <c r="I200" t="str">
        <f>IF(AND($A200="Dessert",$F200=1),SUMPRODUCT(($A$2:$A200="Dessert")*($F$2:$F200=1)),"")</f>
        <v/>
      </c>
      <c r="J200" t="str">
        <f>IF(AND($A200="Side",$F200=1),SUMPRODUCT(($A$2:$A200="Side")*($F$2:$F200=1)),"")</f>
        <v/>
      </c>
      <c r="K200" t="str">
        <f>IF(AND($A200="Drink",$F200=1),SUMPRODUCT(($A$2:$A200="Drink")*($F$2:$F200=1)),"")</f>
        <v/>
      </c>
      <c r="L200" t="str">
        <f>IF($F200=1,SUMPRODUCT(($F$2:$F200=1)*1),"")</f>
        <v/>
      </c>
    </row>
    <row r="201" spans="7:12">
      <c r="G201" t="str">
        <f>IF(AND($A201="Starter",$F201=1),SUMPRODUCT(($A$2:$A201="Starter")*($F$2:$F201=1)),"")</f>
        <v/>
      </c>
      <c r="H201" t="str">
        <f>IF(AND($A201="Main",$F201=1),SUMPRODUCT(($A$2:$A201="Main")*($F$2:$F201=1)),"")</f>
        <v/>
      </c>
      <c r="I201" t="str">
        <f>IF(AND($A201="Dessert",$F201=1),SUMPRODUCT(($A$2:$A201="Dessert")*($F$2:$F201=1)),"")</f>
        <v/>
      </c>
      <c r="J201" t="str">
        <f>IF(AND($A201="Side",$F201=1),SUMPRODUCT(($A$2:$A201="Side")*($F$2:$F201=1)),"")</f>
        <v/>
      </c>
      <c r="K201" t="str">
        <f>IF(AND($A201="Drink",$F201=1),SUMPRODUCT(($A$2:$A201="Drink")*($F$2:$F201=1)),"")</f>
        <v/>
      </c>
      <c r="L201" t="str">
        <f>IF($F201=1,SUMPRODUCT(($F$2:$F201=1)*1),"")</f>
        <v/>
      </c>
    </row>
    <row r="202" spans="7:12">
      <c r="G202" t="str">
        <f>IF(AND($A202="Starter",$F202=1),SUMPRODUCT(($A$2:$A202="Starter")*($F$2:$F202=1)),"")</f>
        <v/>
      </c>
      <c r="H202" t="str">
        <f>IF(AND($A202="Main",$F202=1),SUMPRODUCT(($A$2:$A202="Main")*($F$2:$F202=1)),"")</f>
        <v/>
      </c>
      <c r="I202" t="str">
        <f>IF(AND($A202="Dessert",$F202=1),SUMPRODUCT(($A$2:$A202="Dessert")*($F$2:$F202=1)),"")</f>
        <v/>
      </c>
      <c r="J202" t="str">
        <f>IF(AND($A202="Side",$F202=1),SUMPRODUCT(($A$2:$A202="Side")*($F$2:$F202=1)),"")</f>
        <v/>
      </c>
      <c r="K202" t="str">
        <f>IF(AND($A202="Drink",$F202=1),SUMPRODUCT(($A$2:$A202="Drink")*($F$2:$F202=1)),"")</f>
        <v/>
      </c>
      <c r="L202" t="str">
        <f>IF($F202=1,SUMPRODUCT(($F$2:$F202=1)*1),"")</f>
        <v/>
      </c>
    </row>
    <row r="203" spans="7:12">
      <c r="G203" t="str">
        <f>IF(AND($A203="Starter",$F203=1),SUMPRODUCT(($A$2:$A203="Starter")*($F$2:$F203=1)),"")</f>
        <v/>
      </c>
      <c r="H203" t="str">
        <f>IF(AND($A203="Main",$F203=1),SUMPRODUCT(($A$2:$A203="Main")*($F$2:$F203=1)),"")</f>
        <v/>
      </c>
      <c r="I203" t="str">
        <f>IF(AND($A203="Dessert",$F203=1),SUMPRODUCT(($A$2:$A203="Dessert")*($F$2:$F203=1)),"")</f>
        <v/>
      </c>
      <c r="J203" t="str">
        <f>IF(AND($A203="Side",$F203=1),SUMPRODUCT(($A$2:$A203="Side")*($F$2:$F203=1)),"")</f>
        <v/>
      </c>
      <c r="K203" t="str">
        <f>IF(AND($A203="Drink",$F203=1),SUMPRODUCT(($A$2:$A203="Drink")*($F$2:$F203=1)),"")</f>
        <v/>
      </c>
      <c r="L203" t="str">
        <f>IF($F203=1,SUMPRODUCT(($F$2:$F203=1)*1),"")</f>
        <v/>
      </c>
    </row>
    <row r="204" spans="7:12">
      <c r="G204" t="str">
        <f>IF(AND($A204="Starter",$F204=1),SUMPRODUCT(($A$2:$A204="Starter")*($F$2:$F204=1)),"")</f>
        <v/>
      </c>
      <c r="H204" t="str">
        <f>IF(AND($A204="Main",$F204=1),SUMPRODUCT(($A$2:$A204="Main")*($F$2:$F204=1)),"")</f>
        <v/>
      </c>
      <c r="I204" t="str">
        <f>IF(AND($A204="Dessert",$F204=1),SUMPRODUCT(($A$2:$A204="Dessert")*($F$2:$F204=1)),"")</f>
        <v/>
      </c>
      <c r="J204" t="str">
        <f>IF(AND($A204="Side",$F204=1),SUMPRODUCT(($A$2:$A204="Side")*($F$2:$F204=1)),"")</f>
        <v/>
      </c>
      <c r="K204" t="str">
        <f>IF(AND($A204="Drink",$F204=1),SUMPRODUCT(($A$2:$A204="Drink")*($F$2:$F204=1)),"")</f>
        <v/>
      </c>
      <c r="L204" t="str">
        <f>IF($F204=1,SUMPRODUCT(($F$2:$F204=1)*1),"")</f>
        <v/>
      </c>
    </row>
    <row r="205" spans="7:12">
      <c r="G205" t="str">
        <f>IF(AND($A205="Starter",$F205=1),SUMPRODUCT(($A$2:$A205="Starter")*($F$2:$F205=1)),"")</f>
        <v/>
      </c>
      <c r="H205" t="str">
        <f>IF(AND($A205="Main",$F205=1),SUMPRODUCT(($A$2:$A205="Main")*($F$2:$F205=1)),"")</f>
        <v/>
      </c>
      <c r="I205" t="str">
        <f>IF(AND($A205="Dessert",$F205=1),SUMPRODUCT(($A$2:$A205="Dessert")*($F$2:$F205=1)),"")</f>
        <v/>
      </c>
      <c r="J205" t="str">
        <f>IF(AND($A205="Side",$F205=1),SUMPRODUCT(($A$2:$A205="Side")*($F$2:$F205=1)),"")</f>
        <v/>
      </c>
      <c r="K205" t="str">
        <f>IF(AND($A205="Drink",$F205=1),SUMPRODUCT(($A$2:$A205="Drink")*($F$2:$F205=1)),"")</f>
        <v/>
      </c>
      <c r="L205" t="str">
        <f>IF($F205=1,SUMPRODUCT(($F$2:$F205=1)*1),"")</f>
        <v/>
      </c>
    </row>
    <row r="206" spans="7:12">
      <c r="G206" t="str">
        <f>IF(AND($A206="Starter",$F206=1),SUMPRODUCT(($A$2:$A206="Starter")*($F$2:$F206=1)),"")</f>
        <v/>
      </c>
      <c r="H206" t="str">
        <f>IF(AND($A206="Main",$F206=1),SUMPRODUCT(($A$2:$A206="Main")*($F$2:$F206=1)),"")</f>
        <v/>
      </c>
      <c r="I206" t="str">
        <f>IF(AND($A206="Dessert",$F206=1),SUMPRODUCT(($A$2:$A206="Dessert")*($F$2:$F206=1)),"")</f>
        <v/>
      </c>
      <c r="J206" t="str">
        <f>IF(AND($A206="Side",$F206=1),SUMPRODUCT(($A$2:$A206="Side")*($F$2:$F206=1)),"")</f>
        <v/>
      </c>
      <c r="K206" t="str">
        <f>IF(AND($A206="Drink",$F206=1),SUMPRODUCT(($A$2:$A206="Drink")*($F$2:$F206=1)),"")</f>
        <v/>
      </c>
      <c r="L206" t="str">
        <f>IF($F206=1,SUMPRODUCT(($F$2:$F206=1)*1),"")</f>
        <v/>
      </c>
    </row>
    <row r="207" spans="7:12">
      <c r="G207" t="str">
        <f>IF(AND($A207="Starter",$F207=1),SUMPRODUCT(($A$2:$A207="Starter")*($F$2:$F207=1)),"")</f>
        <v/>
      </c>
      <c r="H207" t="str">
        <f>IF(AND($A207="Main",$F207=1),SUMPRODUCT(($A$2:$A207="Main")*($F$2:$F207=1)),"")</f>
        <v/>
      </c>
      <c r="I207" t="str">
        <f>IF(AND($A207="Dessert",$F207=1),SUMPRODUCT(($A$2:$A207="Dessert")*($F$2:$F207=1)),"")</f>
        <v/>
      </c>
      <c r="J207" t="str">
        <f>IF(AND($A207="Side",$F207=1),SUMPRODUCT(($A$2:$A207="Side")*($F$2:$F207=1)),"")</f>
        <v/>
      </c>
      <c r="K207" t="str">
        <f>IF(AND($A207="Drink",$F207=1),SUMPRODUCT(($A$2:$A207="Drink")*($F$2:$F207=1)),"")</f>
        <v/>
      </c>
      <c r="L207" t="str">
        <f>IF($F207=1,SUMPRODUCT(($F$2:$F207=1)*1),"")</f>
        <v/>
      </c>
    </row>
    <row r="208" spans="7:12">
      <c r="G208" t="str">
        <f>IF(AND($A208="Starter",$F208=1),SUMPRODUCT(($A$2:$A208="Starter")*($F$2:$F208=1)),"")</f>
        <v/>
      </c>
      <c r="H208" t="str">
        <f>IF(AND($A208="Main",$F208=1),SUMPRODUCT(($A$2:$A208="Main")*($F$2:$F208=1)),"")</f>
        <v/>
      </c>
      <c r="I208" t="str">
        <f>IF(AND($A208="Dessert",$F208=1),SUMPRODUCT(($A$2:$A208="Dessert")*($F$2:$F208=1)),"")</f>
        <v/>
      </c>
      <c r="J208" t="str">
        <f>IF(AND($A208="Side",$F208=1),SUMPRODUCT(($A$2:$A208="Side")*($F$2:$F208=1)),"")</f>
        <v/>
      </c>
      <c r="K208" t="str">
        <f>IF(AND($A208="Drink",$F208=1),SUMPRODUCT(($A$2:$A208="Drink")*($F$2:$F208=1)),"")</f>
        <v/>
      </c>
      <c r="L208" t="str">
        <f>IF($F208=1,SUMPRODUCT(($F$2:$F208=1)*1),"")</f>
        <v/>
      </c>
    </row>
    <row r="209" spans="7:12">
      <c r="G209" t="str">
        <f>IF(AND($A209="Starter",$F209=1),SUMPRODUCT(($A$2:$A209="Starter")*($F$2:$F209=1)),"")</f>
        <v/>
      </c>
      <c r="H209" t="str">
        <f>IF(AND($A209="Main",$F209=1),SUMPRODUCT(($A$2:$A209="Main")*($F$2:$F209=1)),"")</f>
        <v/>
      </c>
      <c r="I209" t="str">
        <f>IF(AND($A209="Dessert",$F209=1),SUMPRODUCT(($A$2:$A209="Dessert")*($F$2:$F209=1)),"")</f>
        <v/>
      </c>
      <c r="J209" t="str">
        <f>IF(AND($A209="Side",$F209=1),SUMPRODUCT(($A$2:$A209="Side")*($F$2:$F209=1)),"")</f>
        <v/>
      </c>
      <c r="K209" t="str">
        <f>IF(AND($A209="Drink",$F209=1),SUMPRODUCT(($A$2:$A209="Drink")*($F$2:$F209=1)),"")</f>
        <v/>
      </c>
      <c r="L209" t="str">
        <f>IF($F209=1,SUMPRODUCT(($F$2:$F209=1)*1),"")</f>
        <v/>
      </c>
    </row>
    <row r="210" spans="7:12">
      <c r="G210" t="str">
        <f>IF(AND($A210="Starter",$F210=1),SUMPRODUCT(($A$2:$A210="Starter")*($F$2:$F210=1)),"")</f>
        <v/>
      </c>
      <c r="H210" t="str">
        <f>IF(AND($A210="Main",$F210=1),SUMPRODUCT(($A$2:$A210="Main")*($F$2:$F210=1)),"")</f>
        <v/>
      </c>
      <c r="I210" t="str">
        <f>IF(AND($A210="Dessert",$F210=1),SUMPRODUCT(($A$2:$A210="Dessert")*($F$2:$F210=1)),"")</f>
        <v/>
      </c>
      <c r="J210" t="str">
        <f>IF(AND($A210="Side",$F210=1),SUMPRODUCT(($A$2:$A210="Side")*($F$2:$F210=1)),"")</f>
        <v/>
      </c>
      <c r="K210" t="str">
        <f>IF(AND($A210="Drink",$F210=1),SUMPRODUCT(($A$2:$A210="Drink")*($F$2:$F210=1)),"")</f>
        <v/>
      </c>
      <c r="L210" t="str">
        <f>IF($F210=1,SUMPRODUCT(($F$2:$F210=1)*1),"")</f>
        <v/>
      </c>
    </row>
    <row r="211" spans="7:12">
      <c r="G211" t="str">
        <f>IF(AND($A211="Starter",$F211=1),SUMPRODUCT(($A$2:$A211="Starter")*($F$2:$F211=1)),"")</f>
        <v/>
      </c>
      <c r="H211" t="str">
        <f>IF(AND($A211="Main",$F211=1),SUMPRODUCT(($A$2:$A211="Main")*($F$2:$F211=1)),"")</f>
        <v/>
      </c>
      <c r="I211" t="str">
        <f>IF(AND($A211="Dessert",$F211=1),SUMPRODUCT(($A$2:$A211="Dessert")*($F$2:$F211=1)),"")</f>
        <v/>
      </c>
      <c r="J211" t="str">
        <f>IF(AND($A211="Side",$F211=1),SUMPRODUCT(($A$2:$A211="Side")*($F$2:$F211=1)),"")</f>
        <v/>
      </c>
      <c r="K211" t="str">
        <f>IF(AND($A211="Drink",$F211=1),SUMPRODUCT(($A$2:$A211="Drink")*($F$2:$F211=1)),"")</f>
        <v/>
      </c>
      <c r="L211" t="str">
        <f>IF($F211=1,SUMPRODUCT(($F$2:$F211=1)*1),"")</f>
        <v/>
      </c>
    </row>
    <row r="212" spans="7:12">
      <c r="G212" t="str">
        <f>IF(AND($A212="Starter",$F212=1),SUMPRODUCT(($A$2:$A212="Starter")*($F$2:$F212=1)),"")</f>
        <v/>
      </c>
      <c r="H212" t="str">
        <f>IF(AND($A212="Main",$F212=1),SUMPRODUCT(($A$2:$A212="Main")*($F$2:$F212=1)),"")</f>
        <v/>
      </c>
      <c r="I212" t="str">
        <f>IF(AND($A212="Dessert",$F212=1),SUMPRODUCT(($A$2:$A212="Dessert")*($F$2:$F212=1)),"")</f>
        <v/>
      </c>
      <c r="J212" t="str">
        <f>IF(AND($A212="Side",$F212=1),SUMPRODUCT(($A$2:$A212="Side")*($F$2:$F212=1)),"")</f>
        <v/>
      </c>
      <c r="K212" t="str">
        <f>IF(AND($A212="Drink",$F212=1),SUMPRODUCT(($A$2:$A212="Drink")*($F$2:$F212=1)),"")</f>
        <v/>
      </c>
      <c r="L212" t="str">
        <f>IF($F212=1,SUMPRODUCT(($F$2:$F212=1)*1),"")</f>
        <v/>
      </c>
    </row>
    <row r="213" spans="7:12">
      <c r="G213" t="str">
        <f>IF(AND($A213="Starter",$F213=1),SUMPRODUCT(($A$2:$A213="Starter")*($F$2:$F213=1)),"")</f>
        <v/>
      </c>
      <c r="H213" t="str">
        <f>IF(AND($A213="Main",$F213=1),SUMPRODUCT(($A$2:$A213="Main")*($F$2:$F213=1)),"")</f>
        <v/>
      </c>
      <c r="I213" t="str">
        <f>IF(AND($A213="Dessert",$F213=1),SUMPRODUCT(($A$2:$A213="Dessert")*($F$2:$F213=1)),"")</f>
        <v/>
      </c>
      <c r="J213" t="str">
        <f>IF(AND($A213="Side",$F213=1),SUMPRODUCT(($A$2:$A213="Side")*($F$2:$F213=1)),"")</f>
        <v/>
      </c>
      <c r="K213" t="str">
        <f>IF(AND($A213="Drink",$F213=1),SUMPRODUCT(($A$2:$A213="Drink")*($F$2:$F213=1)),"")</f>
        <v/>
      </c>
      <c r="L213" t="str">
        <f>IF($F213=1,SUMPRODUCT(($F$2:$F213=1)*1),"")</f>
        <v/>
      </c>
    </row>
    <row r="214" spans="7:12">
      <c r="G214" t="str">
        <f>IF(AND($A214="Starter",$F214=1),SUMPRODUCT(($A$2:$A214="Starter")*($F$2:$F214=1)),"")</f>
        <v/>
      </c>
      <c r="H214" t="str">
        <f>IF(AND($A214="Main",$F214=1),SUMPRODUCT(($A$2:$A214="Main")*($F$2:$F214=1)),"")</f>
        <v/>
      </c>
      <c r="I214" t="str">
        <f>IF(AND($A214="Dessert",$F214=1),SUMPRODUCT(($A$2:$A214="Dessert")*($F$2:$F214=1)),"")</f>
        <v/>
      </c>
      <c r="J214" t="str">
        <f>IF(AND($A214="Side",$F214=1),SUMPRODUCT(($A$2:$A214="Side")*($F$2:$F214=1)),"")</f>
        <v/>
      </c>
      <c r="K214" t="str">
        <f>IF(AND($A214="Drink",$F214=1),SUMPRODUCT(($A$2:$A214="Drink")*($F$2:$F214=1)),"")</f>
        <v/>
      </c>
      <c r="L214" t="str">
        <f>IF($F214=1,SUMPRODUCT(($F$2:$F214=1)*1),"")</f>
        <v/>
      </c>
    </row>
    <row r="215" spans="7:12">
      <c r="G215" t="str">
        <f>IF(AND($A215="Starter",$F215=1),SUMPRODUCT(($A$2:$A215="Starter")*($F$2:$F215=1)),"")</f>
        <v/>
      </c>
      <c r="H215" t="str">
        <f>IF(AND($A215="Main",$F215=1),SUMPRODUCT(($A$2:$A215="Main")*($F$2:$F215=1)),"")</f>
        <v/>
      </c>
      <c r="I215" t="str">
        <f>IF(AND($A215="Dessert",$F215=1),SUMPRODUCT(($A$2:$A215="Dessert")*($F$2:$F215=1)),"")</f>
        <v/>
      </c>
      <c r="J215" t="str">
        <f>IF(AND($A215="Side",$F215=1),SUMPRODUCT(($A$2:$A215="Side")*($F$2:$F215=1)),"")</f>
        <v/>
      </c>
      <c r="K215" t="str">
        <f>IF(AND($A215="Drink",$F215=1),SUMPRODUCT(($A$2:$A215="Drink")*($F$2:$F215=1)),"")</f>
        <v/>
      </c>
      <c r="L215" t="str">
        <f>IF($F215=1,SUMPRODUCT(($F$2:$F215=1)*1),"")</f>
        <v/>
      </c>
    </row>
    <row r="216" spans="7:12">
      <c r="G216" t="str">
        <f>IF(AND($A216="Starter",$F216=1),SUMPRODUCT(($A$2:$A216="Starter")*($F$2:$F216=1)),"")</f>
        <v/>
      </c>
      <c r="H216" t="str">
        <f>IF(AND($A216="Main",$F216=1),SUMPRODUCT(($A$2:$A216="Main")*($F$2:$F216=1)),"")</f>
        <v/>
      </c>
      <c r="I216" t="str">
        <f>IF(AND($A216="Dessert",$F216=1),SUMPRODUCT(($A$2:$A216="Dessert")*($F$2:$F216=1)),"")</f>
        <v/>
      </c>
      <c r="J216" t="str">
        <f>IF(AND($A216="Side",$F216=1),SUMPRODUCT(($A$2:$A216="Side")*($F$2:$F216=1)),"")</f>
        <v/>
      </c>
      <c r="K216" t="str">
        <f>IF(AND($A216="Drink",$F216=1),SUMPRODUCT(($A$2:$A216="Drink")*($F$2:$F216=1)),"")</f>
        <v/>
      </c>
      <c r="L216" t="str">
        <f>IF($F216=1,SUMPRODUCT(($F$2:$F216=1)*1),"")</f>
        <v/>
      </c>
    </row>
    <row r="217" spans="7:12">
      <c r="G217" t="str">
        <f>IF(AND($A217="Starter",$F217=1),SUMPRODUCT(($A$2:$A217="Starter")*($F$2:$F217=1)),"")</f>
        <v/>
      </c>
      <c r="H217" t="str">
        <f>IF(AND($A217="Main",$F217=1),SUMPRODUCT(($A$2:$A217="Main")*($F$2:$F217=1)),"")</f>
        <v/>
      </c>
      <c r="I217" t="str">
        <f>IF(AND($A217="Dessert",$F217=1),SUMPRODUCT(($A$2:$A217="Dessert")*($F$2:$F217=1)),"")</f>
        <v/>
      </c>
      <c r="J217" t="str">
        <f>IF(AND($A217="Side",$F217=1),SUMPRODUCT(($A$2:$A217="Side")*($F$2:$F217=1)),"")</f>
        <v/>
      </c>
      <c r="K217" t="str">
        <f>IF(AND($A217="Drink",$F217=1),SUMPRODUCT(($A$2:$A217="Drink")*($F$2:$F217=1)),"")</f>
        <v/>
      </c>
      <c r="L217" t="str">
        <f>IF($F217=1,SUMPRODUCT(($F$2:$F217=1)*1),"")</f>
        <v/>
      </c>
    </row>
    <row r="218" spans="7:12">
      <c r="G218" t="str">
        <f>IF(AND($A218="Starter",$F218=1),SUMPRODUCT(($A$2:$A218="Starter")*($F$2:$F218=1)),"")</f>
        <v/>
      </c>
      <c r="H218" t="str">
        <f>IF(AND($A218="Main",$F218=1),SUMPRODUCT(($A$2:$A218="Main")*($F$2:$F218=1)),"")</f>
        <v/>
      </c>
      <c r="I218" t="str">
        <f>IF(AND($A218="Dessert",$F218=1),SUMPRODUCT(($A$2:$A218="Dessert")*($F$2:$F218=1)),"")</f>
        <v/>
      </c>
      <c r="J218" t="str">
        <f>IF(AND($A218="Side",$F218=1),SUMPRODUCT(($A$2:$A218="Side")*($F$2:$F218=1)),"")</f>
        <v/>
      </c>
      <c r="K218" t="str">
        <f>IF(AND($A218="Drink",$F218=1),SUMPRODUCT(($A$2:$A218="Drink")*($F$2:$F218=1)),"")</f>
        <v/>
      </c>
      <c r="L218" t="str">
        <f>IF($F218=1,SUMPRODUCT(($F$2:$F218=1)*1),"")</f>
        <v/>
      </c>
    </row>
    <row r="219" spans="7:12">
      <c r="G219" t="str">
        <f>IF(AND($A219="Starter",$F219=1),SUMPRODUCT(($A$2:$A219="Starter")*($F$2:$F219=1)),"")</f>
        <v/>
      </c>
      <c r="H219" t="str">
        <f>IF(AND($A219="Main",$F219=1),SUMPRODUCT(($A$2:$A219="Main")*($F$2:$F219=1)),"")</f>
        <v/>
      </c>
      <c r="I219" t="str">
        <f>IF(AND($A219="Dessert",$F219=1),SUMPRODUCT(($A$2:$A219="Dessert")*($F$2:$F219=1)),"")</f>
        <v/>
      </c>
      <c r="J219" t="str">
        <f>IF(AND($A219="Side",$F219=1),SUMPRODUCT(($A$2:$A219="Side")*($F$2:$F219=1)),"")</f>
        <v/>
      </c>
      <c r="K219" t="str">
        <f>IF(AND($A219="Drink",$F219=1),SUMPRODUCT(($A$2:$A219="Drink")*($F$2:$F219=1)),"")</f>
        <v/>
      </c>
      <c r="L219" t="str">
        <f>IF($F219=1,SUMPRODUCT(($F$2:$F219=1)*1),"")</f>
        <v/>
      </c>
    </row>
    <row r="220" spans="7:12">
      <c r="G220" t="str">
        <f>IF(AND($A220="Starter",$F220=1),SUMPRODUCT(($A$2:$A220="Starter")*($F$2:$F220=1)),"")</f>
        <v/>
      </c>
      <c r="H220" t="str">
        <f>IF(AND($A220="Main",$F220=1),SUMPRODUCT(($A$2:$A220="Main")*($F$2:$F220=1)),"")</f>
        <v/>
      </c>
      <c r="I220" t="str">
        <f>IF(AND($A220="Dessert",$F220=1),SUMPRODUCT(($A$2:$A220="Dessert")*($F$2:$F220=1)),"")</f>
        <v/>
      </c>
      <c r="J220" t="str">
        <f>IF(AND($A220="Side",$F220=1),SUMPRODUCT(($A$2:$A220="Side")*($F$2:$F220=1)),"")</f>
        <v/>
      </c>
      <c r="K220" t="str">
        <f>IF(AND($A220="Drink",$F220=1),SUMPRODUCT(($A$2:$A220="Drink")*($F$2:$F220=1)),"")</f>
        <v/>
      </c>
      <c r="L220" t="str">
        <f>IF($F220=1,SUMPRODUCT(($F$2:$F220=1)*1),"")</f>
        <v/>
      </c>
    </row>
    <row r="221" spans="7:12">
      <c r="G221" t="str">
        <f>IF(AND($A221="Starter",$F221=1),SUMPRODUCT(($A$2:$A221="Starter")*($F$2:$F221=1)),"")</f>
        <v/>
      </c>
      <c r="H221" t="str">
        <f>IF(AND($A221="Main",$F221=1),SUMPRODUCT(($A$2:$A221="Main")*($F$2:$F221=1)),"")</f>
        <v/>
      </c>
      <c r="I221" t="str">
        <f>IF(AND($A221="Dessert",$F221=1),SUMPRODUCT(($A$2:$A221="Dessert")*($F$2:$F221=1)),"")</f>
        <v/>
      </c>
      <c r="J221" t="str">
        <f>IF(AND($A221="Side",$F221=1),SUMPRODUCT(($A$2:$A221="Side")*($F$2:$F221=1)),"")</f>
        <v/>
      </c>
      <c r="K221" t="str">
        <f>IF(AND($A221="Drink",$F221=1),SUMPRODUCT(($A$2:$A221="Drink")*($F$2:$F221=1)),"")</f>
        <v/>
      </c>
      <c r="L221" t="str">
        <f>IF($F221=1,SUMPRODUCT(($F$2:$F221=1)*1),"")</f>
        <v/>
      </c>
    </row>
    <row r="222" spans="7:12">
      <c r="G222" t="str">
        <f>IF(AND($A222="Starter",$F222=1),SUMPRODUCT(($A$2:$A222="Starter")*($F$2:$F222=1)),"")</f>
        <v/>
      </c>
      <c r="H222" t="str">
        <f>IF(AND($A222="Main",$F222=1),SUMPRODUCT(($A$2:$A222="Main")*($F$2:$F222=1)),"")</f>
        <v/>
      </c>
      <c r="I222" t="str">
        <f>IF(AND($A222="Dessert",$F222=1),SUMPRODUCT(($A$2:$A222="Dessert")*($F$2:$F222=1)),"")</f>
        <v/>
      </c>
      <c r="J222" t="str">
        <f>IF(AND($A222="Side",$F222=1),SUMPRODUCT(($A$2:$A222="Side")*($F$2:$F222=1)),"")</f>
        <v/>
      </c>
      <c r="K222" t="str">
        <f>IF(AND($A222="Drink",$F222=1),SUMPRODUCT(($A$2:$A222="Drink")*($F$2:$F222=1)),"")</f>
        <v/>
      </c>
      <c r="L222" t="str">
        <f>IF($F222=1,SUMPRODUCT(($F$2:$F222=1)*1),"")</f>
        <v/>
      </c>
    </row>
    <row r="223" spans="7:12">
      <c r="G223" t="str">
        <f>IF(AND($A223="Starter",$F223=1),SUMPRODUCT(($A$2:$A223="Starter")*($F$2:$F223=1)),"")</f>
        <v/>
      </c>
      <c r="H223" t="str">
        <f>IF(AND($A223="Main",$F223=1),SUMPRODUCT(($A$2:$A223="Main")*($F$2:$F223=1)),"")</f>
        <v/>
      </c>
      <c r="I223" t="str">
        <f>IF(AND($A223="Dessert",$F223=1),SUMPRODUCT(($A$2:$A223="Dessert")*($F$2:$F223=1)),"")</f>
        <v/>
      </c>
      <c r="J223" t="str">
        <f>IF(AND($A223="Side",$F223=1),SUMPRODUCT(($A$2:$A223="Side")*($F$2:$F223=1)),"")</f>
        <v/>
      </c>
      <c r="K223" t="str">
        <f>IF(AND($A223="Drink",$F223=1),SUMPRODUCT(($A$2:$A223="Drink")*($F$2:$F223=1)),"")</f>
        <v/>
      </c>
      <c r="L223" t="str">
        <f>IF($F223=1,SUMPRODUCT(($F$2:$F223=1)*1),"")</f>
        <v/>
      </c>
    </row>
    <row r="224" spans="7:12">
      <c r="G224" t="str">
        <f>IF(AND($A224="Starter",$F224=1),SUMPRODUCT(($A$2:$A224="Starter")*($F$2:$F224=1)),"")</f>
        <v/>
      </c>
      <c r="H224" t="str">
        <f>IF(AND($A224="Main",$F224=1),SUMPRODUCT(($A$2:$A224="Main")*($F$2:$F224=1)),"")</f>
        <v/>
      </c>
      <c r="I224" t="str">
        <f>IF(AND($A224="Dessert",$F224=1),SUMPRODUCT(($A$2:$A224="Dessert")*($F$2:$F224=1)),"")</f>
        <v/>
      </c>
      <c r="J224" t="str">
        <f>IF(AND($A224="Side",$F224=1),SUMPRODUCT(($A$2:$A224="Side")*($F$2:$F224=1)),"")</f>
        <v/>
      </c>
      <c r="K224" t="str">
        <f>IF(AND($A224="Drink",$F224=1),SUMPRODUCT(($A$2:$A224="Drink")*($F$2:$F224=1)),"")</f>
        <v/>
      </c>
      <c r="L224" t="str">
        <f>IF($F224=1,SUMPRODUCT(($F$2:$F224=1)*1),"")</f>
        <v/>
      </c>
    </row>
    <row r="225" spans="7:12">
      <c r="G225" t="str">
        <f>IF(AND($A225="Starter",$F225=1),SUMPRODUCT(($A$2:$A225="Starter")*($F$2:$F225=1)),"")</f>
        <v/>
      </c>
      <c r="H225" t="str">
        <f>IF(AND($A225="Main",$F225=1),SUMPRODUCT(($A$2:$A225="Main")*($F$2:$F225=1)),"")</f>
        <v/>
      </c>
      <c r="I225" t="str">
        <f>IF(AND($A225="Dessert",$F225=1),SUMPRODUCT(($A$2:$A225="Dessert")*($F$2:$F225=1)),"")</f>
        <v/>
      </c>
      <c r="J225" t="str">
        <f>IF(AND($A225="Side",$F225=1),SUMPRODUCT(($A$2:$A225="Side")*($F$2:$F225=1)),"")</f>
        <v/>
      </c>
      <c r="K225" t="str">
        <f>IF(AND($A225="Drink",$F225=1),SUMPRODUCT(($A$2:$A225="Drink")*($F$2:$F225=1)),"")</f>
        <v/>
      </c>
      <c r="L225" t="str">
        <f>IF($F225=1,SUMPRODUCT(($F$2:$F225=1)*1),"")</f>
        <v/>
      </c>
    </row>
    <row r="226" spans="7:12">
      <c r="G226" t="str">
        <f>IF(AND($A226="Starter",$F226=1),SUMPRODUCT(($A$2:$A226="Starter")*($F$2:$F226=1)),"")</f>
        <v/>
      </c>
      <c r="H226" t="str">
        <f>IF(AND($A226="Main",$F226=1),SUMPRODUCT(($A$2:$A226="Main")*($F$2:$F226=1)),"")</f>
        <v/>
      </c>
      <c r="I226" t="str">
        <f>IF(AND($A226="Dessert",$F226=1),SUMPRODUCT(($A$2:$A226="Dessert")*($F$2:$F226=1)),"")</f>
        <v/>
      </c>
      <c r="J226" t="str">
        <f>IF(AND($A226="Side",$F226=1),SUMPRODUCT(($A$2:$A226="Side")*($F$2:$F226=1)),"")</f>
        <v/>
      </c>
      <c r="K226" t="str">
        <f>IF(AND($A226="Drink",$F226=1),SUMPRODUCT(($A$2:$A226="Drink")*($F$2:$F226=1)),"")</f>
        <v/>
      </c>
      <c r="L226" t="str">
        <f>IF($F226=1,SUMPRODUCT(($F$2:$F226=1)*1),"")</f>
        <v/>
      </c>
    </row>
    <row r="227" spans="7:12">
      <c r="G227" t="str">
        <f>IF(AND($A227="Starter",$F227=1),SUMPRODUCT(($A$2:$A227="Starter")*($F$2:$F227=1)),"")</f>
        <v/>
      </c>
      <c r="H227" t="str">
        <f>IF(AND($A227="Main",$F227=1),SUMPRODUCT(($A$2:$A227="Main")*($F$2:$F227=1)),"")</f>
        <v/>
      </c>
      <c r="I227" t="str">
        <f>IF(AND($A227="Dessert",$F227=1),SUMPRODUCT(($A$2:$A227="Dessert")*($F$2:$F227=1)),"")</f>
        <v/>
      </c>
      <c r="J227" t="str">
        <f>IF(AND($A227="Side",$F227=1),SUMPRODUCT(($A$2:$A227="Side")*($F$2:$F227=1)),"")</f>
        <v/>
      </c>
      <c r="K227" t="str">
        <f>IF(AND($A227="Drink",$F227=1),SUMPRODUCT(($A$2:$A227="Drink")*($F$2:$F227=1)),"")</f>
        <v/>
      </c>
      <c r="L227" t="str">
        <f>IF($F227=1,SUMPRODUCT(($F$2:$F227=1)*1),"")</f>
        <v/>
      </c>
    </row>
    <row r="228" spans="7:12">
      <c r="G228" t="str">
        <f>IF(AND($A228="Starter",$F228=1),SUMPRODUCT(($A$2:$A228="Starter")*($F$2:$F228=1)),"")</f>
        <v/>
      </c>
      <c r="H228" t="str">
        <f>IF(AND($A228="Main",$F228=1),SUMPRODUCT(($A$2:$A228="Main")*($F$2:$F228=1)),"")</f>
        <v/>
      </c>
      <c r="I228" t="str">
        <f>IF(AND($A228="Dessert",$F228=1),SUMPRODUCT(($A$2:$A228="Dessert")*($F$2:$F228=1)),"")</f>
        <v/>
      </c>
      <c r="J228" t="str">
        <f>IF(AND($A228="Side",$F228=1),SUMPRODUCT(($A$2:$A228="Side")*($F$2:$F228=1)),"")</f>
        <v/>
      </c>
      <c r="K228" t="str">
        <f>IF(AND($A228="Drink",$F228=1),SUMPRODUCT(($A$2:$A228="Drink")*($F$2:$F228=1)),"")</f>
        <v/>
      </c>
      <c r="L228" t="str">
        <f>IF($F228=1,SUMPRODUCT(($F$2:$F228=1)*1),"")</f>
        <v/>
      </c>
    </row>
    <row r="229" spans="7:12">
      <c r="G229" t="str">
        <f>IF(AND($A229="Starter",$F229=1),SUMPRODUCT(($A$2:$A229="Starter")*($F$2:$F229=1)),"")</f>
        <v/>
      </c>
      <c r="H229" t="str">
        <f>IF(AND($A229="Main",$F229=1),SUMPRODUCT(($A$2:$A229="Main")*($F$2:$F229=1)),"")</f>
        <v/>
      </c>
      <c r="I229" t="str">
        <f>IF(AND($A229="Dessert",$F229=1),SUMPRODUCT(($A$2:$A229="Dessert")*($F$2:$F229=1)),"")</f>
        <v/>
      </c>
      <c r="J229" t="str">
        <f>IF(AND($A229="Side",$F229=1),SUMPRODUCT(($A$2:$A229="Side")*($F$2:$F229=1)),"")</f>
        <v/>
      </c>
      <c r="K229" t="str">
        <f>IF(AND($A229="Drink",$F229=1),SUMPRODUCT(($A$2:$A229="Drink")*($F$2:$F229=1)),"")</f>
        <v/>
      </c>
      <c r="L229" t="str">
        <f>IF($F229=1,SUMPRODUCT(($F$2:$F229=1)*1),"")</f>
        <v/>
      </c>
    </row>
    <row r="230" spans="7:12">
      <c r="G230" t="str">
        <f>IF(AND($A230="Starter",$F230=1),SUMPRODUCT(($A$2:$A230="Starter")*($F$2:$F230=1)),"")</f>
        <v/>
      </c>
      <c r="H230" t="str">
        <f>IF(AND($A230="Main",$F230=1),SUMPRODUCT(($A$2:$A230="Main")*($F$2:$F230=1)),"")</f>
        <v/>
      </c>
      <c r="I230" t="str">
        <f>IF(AND($A230="Dessert",$F230=1),SUMPRODUCT(($A$2:$A230="Dessert")*($F$2:$F230=1)),"")</f>
        <v/>
      </c>
      <c r="J230" t="str">
        <f>IF(AND($A230="Side",$F230=1),SUMPRODUCT(($A$2:$A230="Side")*($F$2:$F230=1)),"")</f>
        <v/>
      </c>
      <c r="K230" t="str">
        <f>IF(AND($A230="Drink",$F230=1),SUMPRODUCT(($A$2:$A230="Drink")*($F$2:$F230=1)),"")</f>
        <v/>
      </c>
      <c r="L230" t="str">
        <f>IF($F230=1,SUMPRODUCT(($F$2:$F230=1)*1),"")</f>
        <v/>
      </c>
    </row>
    <row r="231" spans="7:12">
      <c r="G231" t="str">
        <f>IF(AND($A231="Starter",$F231=1),SUMPRODUCT(($A$2:$A231="Starter")*($F$2:$F231=1)),"")</f>
        <v/>
      </c>
      <c r="H231" t="str">
        <f>IF(AND($A231="Main",$F231=1),SUMPRODUCT(($A$2:$A231="Main")*($F$2:$F231=1)),"")</f>
        <v/>
      </c>
      <c r="I231" t="str">
        <f>IF(AND($A231="Dessert",$F231=1),SUMPRODUCT(($A$2:$A231="Dessert")*($F$2:$F231=1)),"")</f>
        <v/>
      </c>
      <c r="J231" t="str">
        <f>IF(AND($A231="Side",$F231=1),SUMPRODUCT(($A$2:$A231="Side")*($F$2:$F231=1)),"")</f>
        <v/>
      </c>
      <c r="K231" t="str">
        <f>IF(AND($A231="Drink",$F231=1),SUMPRODUCT(($A$2:$A231="Drink")*($F$2:$F231=1)),"")</f>
        <v/>
      </c>
      <c r="L231" t="str">
        <f>IF($F231=1,SUMPRODUCT(($F$2:$F231=1)*1),"")</f>
        <v/>
      </c>
    </row>
    <row r="232" spans="7:12">
      <c r="G232" t="str">
        <f>IF(AND($A232="Starter",$F232=1),SUMPRODUCT(($A$2:$A232="Starter")*($F$2:$F232=1)),"")</f>
        <v/>
      </c>
      <c r="H232" t="str">
        <f>IF(AND($A232="Main",$F232=1),SUMPRODUCT(($A$2:$A232="Main")*($F$2:$F232=1)),"")</f>
        <v/>
      </c>
      <c r="I232" t="str">
        <f>IF(AND($A232="Dessert",$F232=1),SUMPRODUCT(($A$2:$A232="Dessert")*($F$2:$F232=1)),"")</f>
        <v/>
      </c>
      <c r="J232" t="str">
        <f>IF(AND($A232="Side",$F232=1),SUMPRODUCT(($A$2:$A232="Side")*($F$2:$F232=1)),"")</f>
        <v/>
      </c>
      <c r="K232" t="str">
        <f>IF(AND($A232="Drink",$F232=1),SUMPRODUCT(($A$2:$A232="Drink")*($F$2:$F232=1)),"")</f>
        <v/>
      </c>
      <c r="L232" t="str">
        <f>IF($F232=1,SUMPRODUCT(($F$2:$F232=1)*1),"")</f>
        <v/>
      </c>
    </row>
    <row r="233" spans="7:12">
      <c r="G233" t="str">
        <f>IF(AND($A233="Starter",$F233=1),SUMPRODUCT(($A$2:$A233="Starter")*($F$2:$F233=1)),"")</f>
        <v/>
      </c>
      <c r="H233" t="str">
        <f>IF(AND($A233="Main",$F233=1),SUMPRODUCT(($A$2:$A233="Main")*($F$2:$F233=1)),"")</f>
        <v/>
      </c>
      <c r="I233" t="str">
        <f>IF(AND($A233="Dessert",$F233=1),SUMPRODUCT(($A$2:$A233="Dessert")*($F$2:$F233=1)),"")</f>
        <v/>
      </c>
      <c r="J233" t="str">
        <f>IF(AND($A233="Side",$F233=1),SUMPRODUCT(($A$2:$A233="Side")*($F$2:$F233=1)),"")</f>
        <v/>
      </c>
      <c r="K233" t="str">
        <f>IF(AND($A233="Drink",$F233=1),SUMPRODUCT(($A$2:$A233="Drink")*($F$2:$F233=1)),"")</f>
        <v/>
      </c>
      <c r="L233" t="str">
        <f>IF($F233=1,SUMPRODUCT(($F$2:$F233=1)*1),"")</f>
        <v/>
      </c>
    </row>
    <row r="234" spans="7:12">
      <c r="G234" t="str">
        <f>IF(AND($A234="Starter",$F234=1),SUMPRODUCT(($A$2:$A234="Starter")*($F$2:$F234=1)),"")</f>
        <v/>
      </c>
      <c r="H234" t="str">
        <f>IF(AND($A234="Main",$F234=1),SUMPRODUCT(($A$2:$A234="Main")*($F$2:$F234=1)),"")</f>
        <v/>
      </c>
      <c r="I234" t="str">
        <f>IF(AND($A234="Dessert",$F234=1),SUMPRODUCT(($A$2:$A234="Dessert")*($F$2:$F234=1)),"")</f>
        <v/>
      </c>
      <c r="J234" t="str">
        <f>IF(AND($A234="Side",$F234=1),SUMPRODUCT(($A$2:$A234="Side")*($F$2:$F234=1)),"")</f>
        <v/>
      </c>
      <c r="K234" t="str">
        <f>IF(AND($A234="Drink",$F234=1),SUMPRODUCT(($A$2:$A234="Drink")*($F$2:$F234=1)),"")</f>
        <v/>
      </c>
      <c r="L234" t="str">
        <f>IF($F234=1,SUMPRODUCT(($F$2:$F234=1)*1),"")</f>
        <v/>
      </c>
    </row>
    <row r="235" spans="7:12">
      <c r="G235" t="str">
        <f>IF(AND($A235="Starter",$F235=1),SUMPRODUCT(($A$2:$A235="Starter")*($F$2:$F235=1)),"")</f>
        <v/>
      </c>
      <c r="H235" t="str">
        <f>IF(AND($A235="Main",$F235=1),SUMPRODUCT(($A$2:$A235="Main")*($F$2:$F235=1)),"")</f>
        <v/>
      </c>
      <c r="I235" t="str">
        <f>IF(AND($A235="Dessert",$F235=1),SUMPRODUCT(($A$2:$A235="Dessert")*($F$2:$F235=1)),"")</f>
        <v/>
      </c>
      <c r="J235" t="str">
        <f>IF(AND($A235="Side",$F235=1),SUMPRODUCT(($A$2:$A235="Side")*($F$2:$F235=1)),"")</f>
        <v/>
      </c>
      <c r="K235" t="str">
        <f>IF(AND($A235="Drink",$F235=1),SUMPRODUCT(($A$2:$A235="Drink")*($F$2:$F235=1)),"")</f>
        <v/>
      </c>
      <c r="L235" t="str">
        <f>IF($F235=1,SUMPRODUCT(($F$2:$F235=1)*1),"")</f>
        <v/>
      </c>
    </row>
    <row r="236" spans="7:12">
      <c r="G236" t="str">
        <f>IF(AND($A236="Starter",$F236=1),SUMPRODUCT(($A$2:$A236="Starter")*($F$2:$F236=1)),"")</f>
        <v/>
      </c>
      <c r="H236" t="str">
        <f>IF(AND($A236="Main",$F236=1),SUMPRODUCT(($A$2:$A236="Main")*($F$2:$F236=1)),"")</f>
        <v/>
      </c>
      <c r="I236" t="str">
        <f>IF(AND($A236="Dessert",$F236=1),SUMPRODUCT(($A$2:$A236="Dessert")*($F$2:$F236=1)),"")</f>
        <v/>
      </c>
      <c r="J236" t="str">
        <f>IF(AND($A236="Side",$F236=1),SUMPRODUCT(($A$2:$A236="Side")*($F$2:$F236=1)),"")</f>
        <v/>
      </c>
      <c r="K236" t="str">
        <f>IF(AND($A236="Drink",$F236=1),SUMPRODUCT(($A$2:$A236="Drink")*($F$2:$F236=1)),"")</f>
        <v/>
      </c>
      <c r="L236" t="str">
        <f>IF($F236=1,SUMPRODUCT(($F$2:$F236=1)*1),"")</f>
        <v/>
      </c>
    </row>
    <row r="237" spans="7:12">
      <c r="G237" t="str">
        <f>IF(AND($A237="Starter",$F237=1),SUMPRODUCT(($A$2:$A237="Starter")*($F$2:$F237=1)),"")</f>
        <v/>
      </c>
      <c r="H237" t="str">
        <f>IF(AND($A237="Main",$F237=1),SUMPRODUCT(($A$2:$A237="Main")*($F$2:$F237=1)),"")</f>
        <v/>
      </c>
      <c r="I237" t="str">
        <f>IF(AND($A237="Dessert",$F237=1),SUMPRODUCT(($A$2:$A237="Dessert")*($F$2:$F237=1)),"")</f>
        <v/>
      </c>
      <c r="J237" t="str">
        <f>IF(AND($A237="Side",$F237=1),SUMPRODUCT(($A$2:$A237="Side")*($F$2:$F237=1)),"")</f>
        <v/>
      </c>
      <c r="K237" t="str">
        <f>IF(AND($A237="Drink",$F237=1),SUMPRODUCT(($A$2:$A237="Drink")*($F$2:$F237=1)),"")</f>
        <v/>
      </c>
      <c r="L237" t="str">
        <f>IF($F237=1,SUMPRODUCT(($F$2:$F237=1)*1),"")</f>
        <v/>
      </c>
    </row>
    <row r="238" spans="7:12">
      <c r="G238" t="str">
        <f>IF(AND($A238="Starter",$F238=1),SUMPRODUCT(($A$2:$A238="Starter")*($F$2:$F238=1)),"")</f>
        <v/>
      </c>
      <c r="H238" t="str">
        <f>IF(AND($A238="Main",$F238=1),SUMPRODUCT(($A$2:$A238="Main")*($F$2:$F238=1)),"")</f>
        <v/>
      </c>
      <c r="I238" t="str">
        <f>IF(AND($A238="Dessert",$F238=1),SUMPRODUCT(($A$2:$A238="Dessert")*($F$2:$F238=1)),"")</f>
        <v/>
      </c>
      <c r="J238" t="str">
        <f>IF(AND($A238="Side",$F238=1),SUMPRODUCT(($A$2:$A238="Side")*($F$2:$F238=1)),"")</f>
        <v/>
      </c>
      <c r="K238" t="str">
        <f>IF(AND($A238="Drink",$F238=1),SUMPRODUCT(($A$2:$A238="Drink")*($F$2:$F238=1)),"")</f>
        <v/>
      </c>
      <c r="L238" t="str">
        <f>IF($F238=1,SUMPRODUCT(($F$2:$F238=1)*1),"")</f>
        <v/>
      </c>
    </row>
    <row r="239" spans="7:12">
      <c r="G239" t="str">
        <f>IF(AND($A239="Starter",$F239=1),SUMPRODUCT(($A$2:$A239="Starter")*($F$2:$F239=1)),"")</f>
        <v/>
      </c>
      <c r="H239" t="str">
        <f>IF(AND($A239="Main",$F239=1),SUMPRODUCT(($A$2:$A239="Main")*($F$2:$F239=1)),"")</f>
        <v/>
      </c>
      <c r="I239" t="str">
        <f>IF(AND($A239="Dessert",$F239=1),SUMPRODUCT(($A$2:$A239="Dessert")*($F$2:$F239=1)),"")</f>
        <v/>
      </c>
      <c r="J239" t="str">
        <f>IF(AND($A239="Side",$F239=1),SUMPRODUCT(($A$2:$A239="Side")*($F$2:$F239=1)),"")</f>
        <v/>
      </c>
      <c r="K239" t="str">
        <f>IF(AND($A239="Drink",$F239=1),SUMPRODUCT(($A$2:$A239="Drink")*($F$2:$F239=1)),"")</f>
        <v/>
      </c>
      <c r="L239" t="str">
        <f>IF($F239=1,SUMPRODUCT(($F$2:$F239=1)*1),"")</f>
        <v/>
      </c>
    </row>
    <row r="240" spans="7:12">
      <c r="G240" t="str">
        <f>IF(AND($A240="Starter",$F240=1),SUMPRODUCT(($A$2:$A240="Starter")*($F$2:$F240=1)),"")</f>
        <v/>
      </c>
      <c r="H240" t="str">
        <f>IF(AND($A240="Main",$F240=1),SUMPRODUCT(($A$2:$A240="Main")*($F$2:$F240=1)),"")</f>
        <v/>
      </c>
      <c r="I240" t="str">
        <f>IF(AND($A240="Dessert",$F240=1),SUMPRODUCT(($A$2:$A240="Dessert")*($F$2:$F240=1)),"")</f>
        <v/>
      </c>
      <c r="J240" t="str">
        <f>IF(AND($A240="Side",$F240=1),SUMPRODUCT(($A$2:$A240="Side")*($F$2:$F240=1)),"")</f>
        <v/>
      </c>
      <c r="K240" t="str">
        <f>IF(AND($A240="Drink",$F240=1),SUMPRODUCT(($A$2:$A240="Drink")*($F$2:$F240=1)),"")</f>
        <v/>
      </c>
      <c r="L240" t="str">
        <f>IF($F240=1,SUMPRODUCT(($F$2:$F240=1)*1),"")</f>
        <v/>
      </c>
    </row>
    <row r="241" spans="7:12">
      <c r="G241" t="str">
        <f>IF(AND($A241="Starter",$F241=1),SUMPRODUCT(($A$2:$A241="Starter")*($F$2:$F241=1)),"")</f>
        <v/>
      </c>
      <c r="H241" t="str">
        <f>IF(AND($A241="Main",$F241=1),SUMPRODUCT(($A$2:$A241="Main")*($F$2:$F241=1)),"")</f>
        <v/>
      </c>
      <c r="I241" t="str">
        <f>IF(AND($A241="Dessert",$F241=1),SUMPRODUCT(($A$2:$A241="Dessert")*($F$2:$F241=1)),"")</f>
        <v/>
      </c>
      <c r="J241" t="str">
        <f>IF(AND($A241="Side",$F241=1),SUMPRODUCT(($A$2:$A241="Side")*($F$2:$F241=1)),"")</f>
        <v/>
      </c>
      <c r="K241" t="str">
        <f>IF(AND($A241="Drink",$F241=1),SUMPRODUCT(($A$2:$A241="Drink")*($F$2:$F241=1)),"")</f>
        <v/>
      </c>
      <c r="L241" t="str">
        <f>IF($F241=1,SUMPRODUCT(($F$2:$F241=1)*1),"")</f>
        <v/>
      </c>
    </row>
    <row r="242" spans="7:12">
      <c r="G242" t="str">
        <f>IF(AND($A242="Starter",$F242=1),SUMPRODUCT(($A$2:$A242="Starter")*($F$2:$F242=1)),"")</f>
        <v/>
      </c>
      <c r="H242" t="str">
        <f>IF(AND($A242="Main",$F242=1),SUMPRODUCT(($A$2:$A242="Main")*($F$2:$F242=1)),"")</f>
        <v/>
      </c>
      <c r="I242" t="str">
        <f>IF(AND($A242="Dessert",$F242=1),SUMPRODUCT(($A$2:$A242="Dessert")*($F$2:$F242=1)),"")</f>
        <v/>
      </c>
      <c r="J242" t="str">
        <f>IF(AND($A242="Side",$F242=1),SUMPRODUCT(($A$2:$A242="Side")*($F$2:$F242=1)),"")</f>
        <v/>
      </c>
      <c r="K242" t="str">
        <f>IF(AND($A242="Drink",$F242=1),SUMPRODUCT(($A$2:$A242="Drink")*($F$2:$F242=1)),"")</f>
        <v/>
      </c>
      <c r="L242" t="str">
        <f>IF($F242=1,SUMPRODUCT(($F$2:$F242=1)*1),"")</f>
        <v/>
      </c>
    </row>
    <row r="243" spans="7:12">
      <c r="G243" t="str">
        <f>IF(AND($A243="Starter",$F243=1),SUMPRODUCT(($A$2:$A243="Starter")*($F$2:$F243=1)),"")</f>
        <v/>
      </c>
      <c r="H243" t="str">
        <f>IF(AND($A243="Main",$F243=1),SUMPRODUCT(($A$2:$A243="Main")*($F$2:$F243=1)),"")</f>
        <v/>
      </c>
      <c r="I243" t="str">
        <f>IF(AND($A243="Dessert",$F243=1),SUMPRODUCT(($A$2:$A243="Dessert")*($F$2:$F243=1)),"")</f>
        <v/>
      </c>
      <c r="J243" t="str">
        <f>IF(AND($A243="Side",$F243=1),SUMPRODUCT(($A$2:$A243="Side")*($F$2:$F243=1)),"")</f>
        <v/>
      </c>
      <c r="K243" t="str">
        <f>IF(AND($A243="Drink",$F243=1),SUMPRODUCT(($A$2:$A243="Drink")*($F$2:$F243=1)),"")</f>
        <v/>
      </c>
      <c r="L243" t="str">
        <f>IF($F243=1,SUMPRODUCT(($F$2:$F243=1)*1),"")</f>
        <v/>
      </c>
    </row>
    <row r="244" spans="7:12">
      <c r="G244" t="str">
        <f>IF(AND($A244="Starter",$F244=1),SUMPRODUCT(($A$2:$A244="Starter")*($F$2:$F244=1)),"")</f>
        <v/>
      </c>
      <c r="H244" t="str">
        <f>IF(AND($A244="Main",$F244=1),SUMPRODUCT(($A$2:$A244="Main")*($F$2:$F244=1)),"")</f>
        <v/>
      </c>
      <c r="I244" t="str">
        <f>IF(AND($A244="Dessert",$F244=1),SUMPRODUCT(($A$2:$A244="Dessert")*($F$2:$F244=1)),"")</f>
        <v/>
      </c>
      <c r="J244" t="str">
        <f>IF(AND($A244="Side",$F244=1),SUMPRODUCT(($A$2:$A244="Side")*($F$2:$F244=1)),"")</f>
        <v/>
      </c>
      <c r="K244" t="str">
        <f>IF(AND($A244="Drink",$F244=1),SUMPRODUCT(($A$2:$A244="Drink")*($F$2:$F244=1)),"")</f>
        <v/>
      </c>
      <c r="L244" t="str">
        <f>IF($F244=1,SUMPRODUCT(($F$2:$F244=1)*1),"")</f>
        <v/>
      </c>
    </row>
    <row r="245" spans="7:12">
      <c r="G245" t="str">
        <f>IF(AND($A245="Starter",$F245=1),SUMPRODUCT(($A$2:$A245="Starter")*($F$2:$F245=1)),"")</f>
        <v/>
      </c>
      <c r="H245" t="str">
        <f>IF(AND($A245="Main",$F245=1),SUMPRODUCT(($A$2:$A245="Main")*($F$2:$F245=1)),"")</f>
        <v/>
      </c>
      <c r="I245" t="str">
        <f>IF(AND($A245="Dessert",$F245=1),SUMPRODUCT(($A$2:$A245="Dessert")*($F$2:$F245=1)),"")</f>
        <v/>
      </c>
      <c r="J245" t="str">
        <f>IF(AND($A245="Side",$F245=1),SUMPRODUCT(($A$2:$A245="Side")*($F$2:$F245=1)),"")</f>
        <v/>
      </c>
      <c r="K245" t="str">
        <f>IF(AND($A245="Drink",$F245=1),SUMPRODUCT(($A$2:$A245="Drink")*($F$2:$F245=1)),"")</f>
        <v/>
      </c>
      <c r="L245" t="str">
        <f>IF($F245=1,SUMPRODUCT(($F$2:$F245=1)*1),"")</f>
        <v/>
      </c>
    </row>
    <row r="246" spans="7:12">
      <c r="G246" t="str">
        <f>IF(AND($A246="Starter",$F246=1),SUMPRODUCT(($A$2:$A246="Starter")*($F$2:$F246=1)),"")</f>
        <v/>
      </c>
      <c r="H246" t="str">
        <f>IF(AND($A246="Main",$F246=1),SUMPRODUCT(($A$2:$A246="Main")*($F$2:$F246=1)),"")</f>
        <v/>
      </c>
      <c r="I246" t="str">
        <f>IF(AND($A246="Dessert",$F246=1),SUMPRODUCT(($A$2:$A246="Dessert")*($F$2:$F246=1)),"")</f>
        <v/>
      </c>
      <c r="J246" t="str">
        <f>IF(AND($A246="Side",$F246=1),SUMPRODUCT(($A$2:$A246="Side")*($F$2:$F246=1)),"")</f>
        <v/>
      </c>
      <c r="K246" t="str">
        <f>IF(AND($A246="Drink",$F246=1),SUMPRODUCT(($A$2:$A246="Drink")*($F$2:$F246=1)),"")</f>
        <v/>
      </c>
      <c r="L246" t="str">
        <f>IF($F246=1,SUMPRODUCT(($F$2:$F246=1)*1),"")</f>
        <v/>
      </c>
    </row>
    <row r="247" spans="7:12">
      <c r="G247" t="str">
        <f>IF(AND($A247="Starter",$F247=1),SUMPRODUCT(($A$2:$A247="Starter")*($F$2:$F247=1)),"")</f>
        <v/>
      </c>
      <c r="H247" t="str">
        <f>IF(AND($A247="Main",$F247=1),SUMPRODUCT(($A$2:$A247="Main")*($F$2:$F247=1)),"")</f>
        <v/>
      </c>
      <c r="I247" t="str">
        <f>IF(AND($A247="Dessert",$F247=1),SUMPRODUCT(($A$2:$A247="Dessert")*($F$2:$F247=1)),"")</f>
        <v/>
      </c>
      <c r="J247" t="str">
        <f>IF(AND($A247="Side",$F247=1),SUMPRODUCT(($A$2:$A247="Side")*($F$2:$F247=1)),"")</f>
        <v/>
      </c>
      <c r="K247" t="str">
        <f>IF(AND($A247="Drink",$F247=1),SUMPRODUCT(($A$2:$A247="Drink")*($F$2:$F247=1)),"")</f>
        <v/>
      </c>
      <c r="L247" t="str">
        <f>IF($F247=1,SUMPRODUCT(($F$2:$F247=1)*1),"")</f>
        <v/>
      </c>
    </row>
    <row r="248" spans="7:12">
      <c r="G248" t="str">
        <f>IF(AND($A248="Starter",$F248=1),SUMPRODUCT(($A$2:$A248="Starter")*($F$2:$F248=1)),"")</f>
        <v/>
      </c>
      <c r="H248" t="str">
        <f>IF(AND($A248="Main",$F248=1),SUMPRODUCT(($A$2:$A248="Main")*($F$2:$F248=1)),"")</f>
        <v/>
      </c>
      <c r="I248" t="str">
        <f>IF(AND($A248="Dessert",$F248=1),SUMPRODUCT(($A$2:$A248="Dessert")*($F$2:$F248=1)),"")</f>
        <v/>
      </c>
      <c r="J248" t="str">
        <f>IF(AND($A248="Side",$F248=1),SUMPRODUCT(($A$2:$A248="Side")*($F$2:$F248=1)),"")</f>
        <v/>
      </c>
      <c r="K248" t="str">
        <f>IF(AND($A248="Drink",$F248=1),SUMPRODUCT(($A$2:$A248="Drink")*($F$2:$F248=1)),"")</f>
        <v/>
      </c>
      <c r="L248" t="str">
        <f>IF($F248=1,SUMPRODUCT(($F$2:$F248=1)*1),"")</f>
        <v/>
      </c>
    </row>
    <row r="249" spans="7:12">
      <c r="G249" t="str">
        <f>IF(AND($A249="Starter",$F249=1),SUMPRODUCT(($A$2:$A249="Starter")*($F$2:$F249=1)),"")</f>
        <v/>
      </c>
      <c r="H249" t="str">
        <f>IF(AND($A249="Main",$F249=1),SUMPRODUCT(($A$2:$A249="Main")*($F$2:$F249=1)),"")</f>
        <v/>
      </c>
      <c r="I249" t="str">
        <f>IF(AND($A249="Dessert",$F249=1),SUMPRODUCT(($A$2:$A249="Dessert")*($F$2:$F249=1)),"")</f>
        <v/>
      </c>
      <c r="J249" t="str">
        <f>IF(AND($A249="Side",$F249=1),SUMPRODUCT(($A$2:$A249="Side")*($F$2:$F249=1)),"")</f>
        <v/>
      </c>
      <c r="K249" t="str">
        <f>IF(AND($A249="Drink",$F249=1),SUMPRODUCT(($A$2:$A249="Drink")*($F$2:$F249=1)),"")</f>
        <v/>
      </c>
      <c r="L249" t="str">
        <f>IF($F249=1,SUMPRODUCT(($F$2:$F249=1)*1),"")</f>
        <v/>
      </c>
    </row>
    <row r="250" spans="7:12">
      <c r="G250" t="str">
        <f>IF(AND($A250="Starter",$F250=1),SUMPRODUCT(($A$2:$A250="Starter")*($F$2:$F250=1)),"")</f>
        <v/>
      </c>
      <c r="H250" t="str">
        <f>IF(AND($A250="Main",$F250=1),SUMPRODUCT(($A$2:$A250="Main")*($F$2:$F250=1)),"")</f>
        <v/>
      </c>
      <c r="I250" t="str">
        <f>IF(AND($A250="Dessert",$F250=1),SUMPRODUCT(($A$2:$A250="Dessert")*($F$2:$F250=1)),"")</f>
        <v/>
      </c>
      <c r="J250" t="str">
        <f>IF(AND($A250="Side",$F250=1),SUMPRODUCT(($A$2:$A250="Side")*($F$2:$F250=1)),"")</f>
        <v/>
      </c>
      <c r="K250" t="str">
        <f>IF(AND($A250="Drink",$F250=1),SUMPRODUCT(($A$2:$A250="Drink")*($F$2:$F250=1)),"")</f>
        <v/>
      </c>
      <c r="L250" t="str">
        <f>IF($F250=1,SUMPRODUCT(($F$2:$F250=1)*1),"")</f>
        <v/>
      </c>
    </row>
    <row r="251" spans="7:12">
      <c r="G251" t="str">
        <f>IF(AND($A251="Starter",$F251=1),SUMPRODUCT(($A$2:$A251="Starter")*($F$2:$F251=1)),"")</f>
        <v/>
      </c>
      <c r="H251" t="str">
        <f>IF(AND($A251="Main",$F251=1),SUMPRODUCT(($A$2:$A251="Main")*($F$2:$F251=1)),"")</f>
        <v/>
      </c>
      <c r="I251" t="str">
        <f>IF(AND($A251="Dessert",$F251=1),SUMPRODUCT(($A$2:$A251="Dessert")*($F$2:$F251=1)),"")</f>
        <v/>
      </c>
      <c r="J251" t="str">
        <f>IF(AND($A251="Side",$F251=1),SUMPRODUCT(($A$2:$A251="Side")*($F$2:$F251=1)),"")</f>
        <v/>
      </c>
      <c r="K251" t="str">
        <f>IF(AND($A251="Drink",$F251=1),SUMPRODUCT(($A$2:$A251="Drink")*($F$2:$F251=1)),"")</f>
        <v/>
      </c>
      <c r="L251" t="str">
        <f>IF($F251=1,SUMPRODUCT(($F$2:$F251=1)*1),"")</f>
        <v/>
      </c>
    </row>
    <row r="252" spans="7:12">
      <c r="G252" t="str">
        <f>IF(AND($A252="Starter",$F252=1),SUMPRODUCT(($A$2:$A252="Starter")*($F$2:$F252=1)),"")</f>
        <v/>
      </c>
      <c r="H252" t="str">
        <f>IF(AND($A252="Main",$F252=1),SUMPRODUCT(($A$2:$A252="Main")*($F$2:$F252=1)),"")</f>
        <v/>
      </c>
      <c r="I252" t="str">
        <f>IF(AND($A252="Dessert",$F252=1),SUMPRODUCT(($A$2:$A252="Dessert")*($F$2:$F252=1)),"")</f>
        <v/>
      </c>
      <c r="J252" t="str">
        <f>IF(AND($A252="Side",$F252=1),SUMPRODUCT(($A$2:$A252="Side")*($F$2:$F252=1)),"")</f>
        <v/>
      </c>
      <c r="K252" t="str">
        <f>IF(AND($A252="Drink",$F252=1),SUMPRODUCT(($A$2:$A252="Drink")*($F$2:$F252=1)),"")</f>
        <v/>
      </c>
      <c r="L252" t="str">
        <f>IF($F252=1,SUMPRODUCT(($F$2:$F252=1)*1),"")</f>
        <v/>
      </c>
    </row>
    <row r="253" spans="7:12">
      <c r="G253" t="str">
        <f>IF(AND($A253="Starter",$F253=1),SUMPRODUCT(($A$2:$A253="Starter")*($F$2:$F253=1)),"")</f>
        <v/>
      </c>
      <c r="H253" t="str">
        <f>IF(AND($A253="Main",$F253=1),SUMPRODUCT(($A$2:$A253="Main")*($F$2:$F253=1)),"")</f>
        <v/>
      </c>
      <c r="I253" t="str">
        <f>IF(AND($A253="Dessert",$F253=1),SUMPRODUCT(($A$2:$A253="Dessert")*($F$2:$F253=1)),"")</f>
        <v/>
      </c>
      <c r="J253" t="str">
        <f>IF(AND($A253="Side",$F253=1),SUMPRODUCT(($A$2:$A253="Side")*($F$2:$F253=1)),"")</f>
        <v/>
      </c>
      <c r="K253" t="str">
        <f>IF(AND($A253="Drink",$F253=1),SUMPRODUCT(($A$2:$A253="Drink")*($F$2:$F253=1)),"")</f>
        <v/>
      </c>
      <c r="L253" t="str">
        <f>IF($F253=1,SUMPRODUCT(($F$2:$F253=1)*1),"")</f>
        <v/>
      </c>
    </row>
    <row r="254" spans="7:12">
      <c r="G254" t="str">
        <f>IF(AND($A254="Starter",$F254=1),SUMPRODUCT(($A$2:$A254="Starter")*($F$2:$F254=1)),"")</f>
        <v/>
      </c>
      <c r="H254" t="str">
        <f>IF(AND($A254="Main",$F254=1),SUMPRODUCT(($A$2:$A254="Main")*($F$2:$F254=1)),"")</f>
        <v/>
      </c>
      <c r="I254" t="str">
        <f>IF(AND($A254="Dessert",$F254=1),SUMPRODUCT(($A$2:$A254="Dessert")*($F$2:$F254=1)),"")</f>
        <v/>
      </c>
      <c r="J254" t="str">
        <f>IF(AND($A254="Side",$F254=1),SUMPRODUCT(($A$2:$A254="Side")*($F$2:$F254=1)),"")</f>
        <v/>
      </c>
      <c r="K254" t="str">
        <f>IF(AND($A254="Drink",$F254=1),SUMPRODUCT(($A$2:$A254="Drink")*($F$2:$F254=1)),"")</f>
        <v/>
      </c>
      <c r="L254" t="str">
        <f>IF($F254=1,SUMPRODUCT(($F$2:$F254=1)*1),"")</f>
        <v/>
      </c>
    </row>
    <row r="255" spans="7:12">
      <c r="G255" t="str">
        <f>IF(AND($A255="Starter",$F255=1),SUMPRODUCT(($A$2:$A255="Starter")*($F$2:$F255=1)),"")</f>
        <v/>
      </c>
      <c r="H255" t="str">
        <f>IF(AND($A255="Main",$F255=1),SUMPRODUCT(($A$2:$A255="Main")*($F$2:$F255=1)),"")</f>
        <v/>
      </c>
      <c r="I255" t="str">
        <f>IF(AND($A255="Dessert",$F255=1),SUMPRODUCT(($A$2:$A255="Dessert")*($F$2:$F255=1)),"")</f>
        <v/>
      </c>
      <c r="J255" t="str">
        <f>IF(AND($A255="Side",$F255=1),SUMPRODUCT(($A$2:$A255="Side")*($F$2:$F255=1)),"")</f>
        <v/>
      </c>
      <c r="K255" t="str">
        <f>IF(AND($A255="Drink",$F255=1),SUMPRODUCT(($A$2:$A255="Drink")*($F$2:$F255=1)),"")</f>
        <v/>
      </c>
      <c r="L255" t="str">
        <f>IF($F255=1,SUMPRODUCT(($F$2:$F255=1)*1),"")</f>
        <v/>
      </c>
    </row>
    <row r="256" spans="7:12">
      <c r="G256" t="str">
        <f>IF(AND($A256="Starter",$F256=1),SUMPRODUCT(($A$2:$A256="Starter")*($F$2:$F256=1)),"")</f>
        <v/>
      </c>
      <c r="H256" t="str">
        <f>IF(AND($A256="Main",$F256=1),SUMPRODUCT(($A$2:$A256="Main")*($F$2:$F256=1)),"")</f>
        <v/>
      </c>
      <c r="I256" t="str">
        <f>IF(AND($A256="Dessert",$F256=1),SUMPRODUCT(($A$2:$A256="Dessert")*($F$2:$F256=1)),"")</f>
        <v/>
      </c>
      <c r="J256" t="str">
        <f>IF(AND($A256="Side",$F256=1),SUMPRODUCT(($A$2:$A256="Side")*($F$2:$F256=1)),"")</f>
        <v/>
      </c>
      <c r="K256" t="str">
        <f>IF(AND($A256="Drink",$F256=1),SUMPRODUCT(($A$2:$A256="Drink")*($F$2:$F256=1)),"")</f>
        <v/>
      </c>
      <c r="L256" t="str">
        <f>IF($F256=1,SUMPRODUCT(($F$2:$F256=1)*1),"")</f>
        <v/>
      </c>
    </row>
    <row r="257" spans="7:12">
      <c r="G257" t="str">
        <f>IF(AND($A257="Starter",$F257=1),SUMPRODUCT(($A$2:$A257="Starter")*($F$2:$F257=1)),"")</f>
        <v/>
      </c>
      <c r="H257" t="str">
        <f>IF(AND($A257="Main",$F257=1),SUMPRODUCT(($A$2:$A257="Main")*($F$2:$F257=1)),"")</f>
        <v/>
      </c>
      <c r="I257" t="str">
        <f>IF(AND($A257="Dessert",$F257=1),SUMPRODUCT(($A$2:$A257="Dessert")*($F$2:$F257=1)),"")</f>
        <v/>
      </c>
      <c r="J257" t="str">
        <f>IF(AND($A257="Side",$F257=1),SUMPRODUCT(($A$2:$A257="Side")*($F$2:$F257=1)),"")</f>
        <v/>
      </c>
      <c r="K257" t="str">
        <f>IF(AND($A257="Drink",$F257=1),SUMPRODUCT(($A$2:$A257="Drink")*($F$2:$F257=1)),"")</f>
        <v/>
      </c>
      <c r="L257" t="str">
        <f>IF($F257=1,SUMPRODUCT(($F$2:$F257=1)*1),"")</f>
        <v/>
      </c>
    </row>
    <row r="258" spans="7:12">
      <c r="G258" t="str">
        <f>IF(AND($A258="Starter",$F258=1),SUMPRODUCT(($A$2:$A258="Starter")*($F$2:$F258=1)),"")</f>
        <v/>
      </c>
      <c r="H258" t="str">
        <f>IF(AND($A258="Main",$F258=1),SUMPRODUCT(($A$2:$A258="Main")*($F$2:$F258=1)),"")</f>
        <v/>
      </c>
      <c r="I258" t="str">
        <f>IF(AND($A258="Dessert",$F258=1),SUMPRODUCT(($A$2:$A258="Dessert")*($F$2:$F258=1)),"")</f>
        <v/>
      </c>
      <c r="J258" t="str">
        <f>IF(AND($A258="Side",$F258=1),SUMPRODUCT(($A$2:$A258="Side")*($F$2:$F258=1)),"")</f>
        <v/>
      </c>
      <c r="K258" t="str">
        <f>IF(AND($A258="Drink",$F258=1),SUMPRODUCT(($A$2:$A258="Drink")*($F$2:$F258=1)),"")</f>
        <v/>
      </c>
      <c r="L258" t="str">
        <f>IF($F258=1,SUMPRODUCT(($F$2:$F258=1)*1),"")</f>
        <v/>
      </c>
    </row>
    <row r="259" spans="7:12">
      <c r="G259" t="str">
        <f>IF(AND($A259="Starter",$F259=1),SUMPRODUCT(($A$2:$A259="Starter")*($F$2:$F259=1)),"")</f>
        <v/>
      </c>
      <c r="H259" t="str">
        <f>IF(AND($A259="Main",$F259=1),SUMPRODUCT(($A$2:$A259="Main")*($F$2:$F259=1)),"")</f>
        <v/>
      </c>
      <c r="I259" t="str">
        <f>IF(AND($A259="Dessert",$F259=1),SUMPRODUCT(($A$2:$A259="Dessert")*($F$2:$F259=1)),"")</f>
        <v/>
      </c>
      <c r="J259" t="str">
        <f>IF(AND($A259="Side",$F259=1),SUMPRODUCT(($A$2:$A259="Side")*($F$2:$F259=1)),"")</f>
        <v/>
      </c>
      <c r="K259" t="str">
        <f>IF(AND($A259="Drink",$F259=1),SUMPRODUCT(($A$2:$A259="Drink")*($F$2:$F259=1)),"")</f>
        <v/>
      </c>
      <c r="L259" t="str">
        <f>IF($F259=1,SUMPRODUCT(($F$2:$F259=1)*1),"")</f>
        <v/>
      </c>
    </row>
    <row r="260" spans="7:12">
      <c r="G260" t="str">
        <f>IF(AND($A260="Starter",$F260=1),SUMPRODUCT(($A$2:$A260="Starter")*($F$2:$F260=1)),"")</f>
        <v/>
      </c>
      <c r="H260" t="str">
        <f>IF(AND($A260="Main",$F260=1),SUMPRODUCT(($A$2:$A260="Main")*($F$2:$F260=1)),"")</f>
        <v/>
      </c>
      <c r="I260" t="str">
        <f>IF(AND($A260="Dessert",$F260=1),SUMPRODUCT(($A$2:$A260="Dessert")*($F$2:$F260=1)),"")</f>
        <v/>
      </c>
      <c r="J260" t="str">
        <f>IF(AND($A260="Side",$F260=1),SUMPRODUCT(($A$2:$A260="Side")*($F$2:$F260=1)),"")</f>
        <v/>
      </c>
      <c r="K260" t="str">
        <f>IF(AND($A260="Drink",$F260=1),SUMPRODUCT(($A$2:$A260="Drink")*($F$2:$F260=1)),"")</f>
        <v/>
      </c>
      <c r="L260" t="str">
        <f>IF($F260=1,SUMPRODUCT(($F$2:$F260=1)*1),"")</f>
        <v/>
      </c>
    </row>
    <row r="261" spans="7:12">
      <c r="G261" t="str">
        <f>IF(AND($A261="Starter",$F261=1),SUMPRODUCT(($A$2:$A261="Starter")*($F$2:$F261=1)),"")</f>
        <v/>
      </c>
      <c r="H261" t="str">
        <f>IF(AND($A261="Main",$F261=1),SUMPRODUCT(($A$2:$A261="Main")*($F$2:$F261=1)),"")</f>
        <v/>
      </c>
      <c r="I261" t="str">
        <f>IF(AND($A261="Dessert",$F261=1),SUMPRODUCT(($A$2:$A261="Dessert")*($F$2:$F261=1)),"")</f>
        <v/>
      </c>
      <c r="J261" t="str">
        <f>IF(AND($A261="Side",$F261=1),SUMPRODUCT(($A$2:$A261="Side")*($F$2:$F261=1)),"")</f>
        <v/>
      </c>
      <c r="K261" t="str">
        <f>IF(AND($A261="Drink",$F261=1),SUMPRODUCT(($A$2:$A261="Drink")*($F$2:$F261=1)),"")</f>
        <v/>
      </c>
      <c r="L261" t="str">
        <f>IF($F261=1,SUMPRODUCT(($F$2:$F261=1)*1),"")</f>
        <v/>
      </c>
    </row>
    <row r="262" spans="7:12">
      <c r="G262" t="str">
        <f>IF(AND($A262="Starter",$F262=1),SUMPRODUCT(($A$2:$A262="Starter")*($F$2:$F262=1)),"")</f>
        <v/>
      </c>
      <c r="H262" t="str">
        <f>IF(AND($A262="Main",$F262=1),SUMPRODUCT(($A$2:$A262="Main")*($F$2:$F262=1)),"")</f>
        <v/>
      </c>
      <c r="I262" t="str">
        <f>IF(AND($A262="Dessert",$F262=1),SUMPRODUCT(($A$2:$A262="Dessert")*($F$2:$F262=1)),"")</f>
        <v/>
      </c>
      <c r="J262" t="str">
        <f>IF(AND($A262="Side",$F262=1),SUMPRODUCT(($A$2:$A262="Side")*($F$2:$F262=1)),"")</f>
        <v/>
      </c>
      <c r="K262" t="str">
        <f>IF(AND($A262="Drink",$F262=1),SUMPRODUCT(($A$2:$A262="Drink")*($F$2:$F262=1)),"")</f>
        <v/>
      </c>
      <c r="L262" t="str">
        <f>IF($F262=1,SUMPRODUCT(($F$2:$F262=1)*1),"")</f>
        <v/>
      </c>
    </row>
    <row r="263" spans="7:12">
      <c r="G263" t="str">
        <f>IF(AND($A263="Starter",$F263=1),SUMPRODUCT(($A$2:$A263="Starter")*($F$2:$F263=1)),"")</f>
        <v/>
      </c>
      <c r="H263" t="str">
        <f>IF(AND($A263="Main",$F263=1),SUMPRODUCT(($A$2:$A263="Main")*($F$2:$F263=1)),"")</f>
        <v/>
      </c>
      <c r="I263" t="str">
        <f>IF(AND($A263="Dessert",$F263=1),SUMPRODUCT(($A$2:$A263="Dessert")*($F$2:$F263=1)),"")</f>
        <v/>
      </c>
      <c r="J263" t="str">
        <f>IF(AND($A263="Side",$F263=1),SUMPRODUCT(($A$2:$A263="Side")*($F$2:$F263=1)),"")</f>
        <v/>
      </c>
      <c r="K263" t="str">
        <f>IF(AND($A263="Drink",$F263=1),SUMPRODUCT(($A$2:$A263="Drink")*($F$2:$F263=1)),"")</f>
        <v/>
      </c>
      <c r="L263" t="str">
        <f>IF($F263=1,SUMPRODUCT(($F$2:$F263=1)*1),"")</f>
        <v/>
      </c>
    </row>
    <row r="264" spans="7:12">
      <c r="G264" t="str">
        <f>IF(AND($A264="Starter",$F264=1),SUMPRODUCT(($A$2:$A264="Starter")*($F$2:$F264=1)),"")</f>
        <v/>
      </c>
      <c r="H264" t="str">
        <f>IF(AND($A264="Main",$F264=1),SUMPRODUCT(($A$2:$A264="Main")*($F$2:$F264=1)),"")</f>
        <v/>
      </c>
      <c r="I264" t="str">
        <f>IF(AND($A264="Dessert",$F264=1),SUMPRODUCT(($A$2:$A264="Dessert")*($F$2:$F264=1)),"")</f>
        <v/>
      </c>
      <c r="J264" t="str">
        <f>IF(AND($A264="Side",$F264=1),SUMPRODUCT(($A$2:$A264="Side")*($F$2:$F264=1)),"")</f>
        <v/>
      </c>
      <c r="K264" t="str">
        <f>IF(AND($A264="Drink",$F264=1),SUMPRODUCT(($A$2:$A264="Drink")*($F$2:$F264=1)),"")</f>
        <v/>
      </c>
      <c r="L264" t="str">
        <f>IF($F264=1,SUMPRODUCT(($F$2:$F264=1)*1),"")</f>
        <v/>
      </c>
    </row>
    <row r="265" spans="7:12">
      <c r="G265" t="str">
        <f>IF(AND($A265="Starter",$F265=1),SUMPRODUCT(($A$2:$A265="Starter")*($F$2:$F265=1)),"")</f>
        <v/>
      </c>
      <c r="H265" t="str">
        <f>IF(AND($A265="Main",$F265=1),SUMPRODUCT(($A$2:$A265="Main")*($F$2:$F265=1)),"")</f>
        <v/>
      </c>
      <c r="I265" t="str">
        <f>IF(AND($A265="Dessert",$F265=1),SUMPRODUCT(($A$2:$A265="Dessert")*($F$2:$F265=1)),"")</f>
        <v/>
      </c>
      <c r="J265" t="str">
        <f>IF(AND($A265="Side",$F265=1),SUMPRODUCT(($A$2:$A265="Side")*($F$2:$F265=1)),"")</f>
        <v/>
      </c>
      <c r="K265" t="str">
        <f>IF(AND($A265="Drink",$F265=1),SUMPRODUCT(($A$2:$A265="Drink")*($F$2:$F265=1)),"")</f>
        <v/>
      </c>
      <c r="L265" t="str">
        <f>IF($F265=1,SUMPRODUCT(($F$2:$F265=1)*1),"")</f>
        <v/>
      </c>
    </row>
    <row r="266" spans="7:12">
      <c r="G266" t="str">
        <f>IF(AND($A266="Starter",$F266=1),SUMPRODUCT(($A$2:$A266="Starter")*($F$2:$F266=1)),"")</f>
        <v/>
      </c>
      <c r="H266" t="str">
        <f>IF(AND($A266="Main",$F266=1),SUMPRODUCT(($A$2:$A266="Main")*($F$2:$F266=1)),"")</f>
        <v/>
      </c>
      <c r="I266" t="str">
        <f>IF(AND($A266="Dessert",$F266=1),SUMPRODUCT(($A$2:$A266="Dessert")*($F$2:$F266=1)),"")</f>
        <v/>
      </c>
      <c r="J266" t="str">
        <f>IF(AND($A266="Side",$F266=1),SUMPRODUCT(($A$2:$A266="Side")*($F$2:$F266=1)),"")</f>
        <v/>
      </c>
      <c r="K266" t="str">
        <f>IF(AND($A266="Drink",$F266=1),SUMPRODUCT(($A$2:$A266="Drink")*($F$2:$F266=1)),"")</f>
        <v/>
      </c>
      <c r="L266" t="str">
        <f>IF($F266=1,SUMPRODUCT(($F$2:$F266=1)*1),"")</f>
        <v/>
      </c>
    </row>
    <row r="267" spans="7:12">
      <c r="G267" t="str">
        <f>IF(AND($A267="Starter",$F267=1),SUMPRODUCT(($A$2:$A267="Starter")*($F$2:$F267=1)),"")</f>
        <v/>
      </c>
      <c r="H267" t="str">
        <f>IF(AND($A267="Main",$F267=1),SUMPRODUCT(($A$2:$A267="Main")*($F$2:$F267=1)),"")</f>
        <v/>
      </c>
      <c r="I267" t="str">
        <f>IF(AND($A267="Dessert",$F267=1),SUMPRODUCT(($A$2:$A267="Dessert")*($F$2:$F267=1)),"")</f>
        <v/>
      </c>
      <c r="J267" t="str">
        <f>IF(AND($A267="Side",$F267=1),SUMPRODUCT(($A$2:$A267="Side")*($F$2:$F267=1)),"")</f>
        <v/>
      </c>
      <c r="K267" t="str">
        <f>IF(AND($A267="Drink",$F267=1),SUMPRODUCT(($A$2:$A267="Drink")*($F$2:$F267=1)),"")</f>
        <v/>
      </c>
      <c r="L267" t="str">
        <f>IF($F267=1,SUMPRODUCT(($F$2:$F267=1)*1),"")</f>
        <v/>
      </c>
    </row>
    <row r="268" spans="7:12">
      <c r="G268" t="str">
        <f>IF(AND($A268="Starter",$F268=1),SUMPRODUCT(($A$2:$A268="Starter")*($F$2:$F268=1)),"")</f>
        <v/>
      </c>
      <c r="H268" t="str">
        <f>IF(AND($A268="Main",$F268=1),SUMPRODUCT(($A$2:$A268="Main")*($F$2:$F268=1)),"")</f>
        <v/>
      </c>
      <c r="I268" t="str">
        <f>IF(AND($A268="Dessert",$F268=1),SUMPRODUCT(($A$2:$A268="Dessert")*($F$2:$F268=1)),"")</f>
        <v/>
      </c>
      <c r="J268" t="str">
        <f>IF(AND($A268="Side",$F268=1),SUMPRODUCT(($A$2:$A268="Side")*($F$2:$F268=1)),"")</f>
        <v/>
      </c>
      <c r="K268" t="str">
        <f>IF(AND($A268="Drink",$F268=1),SUMPRODUCT(($A$2:$A268="Drink")*($F$2:$F268=1)),"")</f>
        <v/>
      </c>
      <c r="L268" t="str">
        <f>IF($F268=1,SUMPRODUCT(($F$2:$F268=1)*1),"")</f>
        <v/>
      </c>
    </row>
    <row r="269" spans="7:12">
      <c r="G269" t="str">
        <f>IF(AND($A269="Starter",$F269=1),SUMPRODUCT(($A$2:$A269="Starter")*($F$2:$F269=1)),"")</f>
        <v/>
      </c>
      <c r="H269" t="str">
        <f>IF(AND($A269="Main",$F269=1),SUMPRODUCT(($A$2:$A269="Main")*($F$2:$F269=1)),"")</f>
        <v/>
      </c>
      <c r="I269" t="str">
        <f>IF(AND($A269="Dessert",$F269=1),SUMPRODUCT(($A$2:$A269="Dessert")*($F$2:$F269=1)),"")</f>
        <v/>
      </c>
      <c r="J269" t="str">
        <f>IF(AND($A269="Side",$F269=1),SUMPRODUCT(($A$2:$A269="Side")*($F$2:$F269=1)),"")</f>
        <v/>
      </c>
      <c r="K269" t="str">
        <f>IF(AND($A269="Drink",$F269=1),SUMPRODUCT(($A$2:$A269="Drink")*($F$2:$F269=1)),"")</f>
        <v/>
      </c>
      <c r="L269" t="str">
        <f>IF($F269=1,SUMPRODUCT(($F$2:$F269=1)*1),"")</f>
        <v/>
      </c>
    </row>
    <row r="270" spans="7:12">
      <c r="G270" t="str">
        <f>IF(AND($A270="Starter",$F270=1),SUMPRODUCT(($A$2:$A270="Starter")*($F$2:$F270=1)),"")</f>
        <v/>
      </c>
      <c r="H270" t="str">
        <f>IF(AND($A270="Main",$F270=1),SUMPRODUCT(($A$2:$A270="Main")*($F$2:$F270=1)),"")</f>
        <v/>
      </c>
      <c r="I270" t="str">
        <f>IF(AND($A270="Dessert",$F270=1),SUMPRODUCT(($A$2:$A270="Dessert")*($F$2:$F270=1)),"")</f>
        <v/>
      </c>
      <c r="J270" t="str">
        <f>IF(AND($A270="Side",$F270=1),SUMPRODUCT(($A$2:$A270="Side")*($F$2:$F270=1)),"")</f>
        <v/>
      </c>
      <c r="K270" t="str">
        <f>IF(AND($A270="Drink",$F270=1),SUMPRODUCT(($A$2:$A270="Drink")*($F$2:$F270=1)),"")</f>
        <v/>
      </c>
      <c r="L270" t="str">
        <f>IF($F270=1,SUMPRODUCT(($F$2:$F270=1)*1),"")</f>
        <v/>
      </c>
    </row>
    <row r="271" spans="7:12">
      <c r="G271" t="str">
        <f>IF(AND($A271="Starter",$F271=1),SUMPRODUCT(($A$2:$A271="Starter")*($F$2:$F271=1)),"")</f>
        <v/>
      </c>
      <c r="H271" t="str">
        <f>IF(AND($A271="Main",$F271=1),SUMPRODUCT(($A$2:$A271="Main")*($F$2:$F271=1)),"")</f>
        <v/>
      </c>
      <c r="I271" t="str">
        <f>IF(AND($A271="Dessert",$F271=1),SUMPRODUCT(($A$2:$A271="Dessert")*($F$2:$F271=1)),"")</f>
        <v/>
      </c>
      <c r="J271" t="str">
        <f>IF(AND($A271="Side",$F271=1),SUMPRODUCT(($A$2:$A271="Side")*($F$2:$F271=1)),"")</f>
        <v/>
      </c>
      <c r="K271" t="str">
        <f>IF(AND($A271="Drink",$F271=1),SUMPRODUCT(($A$2:$A271="Drink")*($F$2:$F271=1)),"")</f>
        <v/>
      </c>
      <c r="L271" t="str">
        <f>IF($F271=1,SUMPRODUCT(($F$2:$F271=1)*1),"")</f>
        <v/>
      </c>
    </row>
    <row r="272" spans="7:12">
      <c r="G272" t="str">
        <f>IF(AND($A272="Starter",$F272=1),SUMPRODUCT(($A$2:$A272="Starter")*($F$2:$F272=1)),"")</f>
        <v/>
      </c>
      <c r="H272" t="str">
        <f>IF(AND($A272="Main",$F272=1),SUMPRODUCT(($A$2:$A272="Main")*($F$2:$F272=1)),"")</f>
        <v/>
      </c>
      <c r="I272" t="str">
        <f>IF(AND($A272="Dessert",$F272=1),SUMPRODUCT(($A$2:$A272="Dessert")*($F$2:$F272=1)),"")</f>
        <v/>
      </c>
      <c r="J272" t="str">
        <f>IF(AND($A272="Side",$F272=1),SUMPRODUCT(($A$2:$A272="Side")*($F$2:$F272=1)),"")</f>
        <v/>
      </c>
      <c r="K272" t="str">
        <f>IF(AND($A272="Drink",$F272=1),SUMPRODUCT(($A$2:$A272="Drink")*($F$2:$F272=1)),"")</f>
        <v/>
      </c>
      <c r="L272" t="str">
        <f>IF($F272=1,SUMPRODUCT(($F$2:$F272=1)*1),"")</f>
        <v/>
      </c>
    </row>
    <row r="273" spans="7:12">
      <c r="G273" t="str">
        <f>IF(AND($A273="Starter",$F273=1),SUMPRODUCT(($A$2:$A273="Starter")*($F$2:$F273=1)),"")</f>
        <v/>
      </c>
      <c r="H273" t="str">
        <f>IF(AND($A273="Main",$F273=1),SUMPRODUCT(($A$2:$A273="Main")*($F$2:$F273=1)),"")</f>
        <v/>
      </c>
      <c r="I273" t="str">
        <f>IF(AND($A273="Dessert",$F273=1),SUMPRODUCT(($A$2:$A273="Dessert")*($F$2:$F273=1)),"")</f>
        <v/>
      </c>
      <c r="J273" t="str">
        <f>IF(AND($A273="Side",$F273=1),SUMPRODUCT(($A$2:$A273="Side")*($F$2:$F273=1)),"")</f>
        <v/>
      </c>
      <c r="K273" t="str">
        <f>IF(AND($A273="Drink",$F273=1),SUMPRODUCT(($A$2:$A273="Drink")*($F$2:$F273=1)),"")</f>
        <v/>
      </c>
      <c r="L273" t="str">
        <f>IF($F273=1,SUMPRODUCT(($F$2:$F273=1)*1),"")</f>
        <v/>
      </c>
    </row>
    <row r="274" spans="7:12">
      <c r="G274" t="str">
        <f>IF(AND($A274="Starter",$F274=1),SUMPRODUCT(($A$2:$A274="Starter")*($F$2:$F274=1)),"")</f>
        <v/>
      </c>
      <c r="H274" t="str">
        <f>IF(AND($A274="Main",$F274=1),SUMPRODUCT(($A$2:$A274="Main")*($F$2:$F274=1)),"")</f>
        <v/>
      </c>
      <c r="I274" t="str">
        <f>IF(AND($A274="Dessert",$F274=1),SUMPRODUCT(($A$2:$A274="Dessert")*($F$2:$F274=1)),"")</f>
        <v/>
      </c>
      <c r="J274" t="str">
        <f>IF(AND($A274="Side",$F274=1),SUMPRODUCT(($A$2:$A274="Side")*($F$2:$F274=1)),"")</f>
        <v/>
      </c>
      <c r="K274" t="str">
        <f>IF(AND($A274="Drink",$F274=1),SUMPRODUCT(($A$2:$A274="Drink")*($F$2:$F274=1)),"")</f>
        <v/>
      </c>
      <c r="L274" t="str">
        <f>IF($F274=1,SUMPRODUCT(($F$2:$F274=1)*1),"")</f>
        <v/>
      </c>
    </row>
    <row r="275" spans="7:12">
      <c r="G275" t="str">
        <f>IF(AND($A275="Starter",$F275=1),SUMPRODUCT(($A$2:$A275="Starter")*($F$2:$F275=1)),"")</f>
        <v/>
      </c>
      <c r="H275" t="str">
        <f>IF(AND($A275="Main",$F275=1),SUMPRODUCT(($A$2:$A275="Main")*($F$2:$F275=1)),"")</f>
        <v/>
      </c>
      <c r="I275" t="str">
        <f>IF(AND($A275="Dessert",$F275=1),SUMPRODUCT(($A$2:$A275="Dessert")*($F$2:$F275=1)),"")</f>
        <v/>
      </c>
      <c r="J275" t="str">
        <f>IF(AND($A275="Side",$F275=1),SUMPRODUCT(($A$2:$A275="Side")*($F$2:$F275=1)),"")</f>
        <v/>
      </c>
      <c r="K275" t="str">
        <f>IF(AND($A275="Drink",$F275=1),SUMPRODUCT(($A$2:$A275="Drink")*($F$2:$F275=1)),"")</f>
        <v/>
      </c>
      <c r="L275" t="str">
        <f>IF($F275=1,SUMPRODUCT(($F$2:$F275=1)*1),"")</f>
        <v/>
      </c>
    </row>
    <row r="276" spans="7:12">
      <c r="G276" t="str">
        <f>IF(AND($A276="Starter",$F276=1),SUMPRODUCT(($A$2:$A276="Starter")*($F$2:$F276=1)),"")</f>
        <v/>
      </c>
      <c r="H276" t="str">
        <f>IF(AND($A276="Main",$F276=1),SUMPRODUCT(($A$2:$A276="Main")*($F$2:$F276=1)),"")</f>
        <v/>
      </c>
      <c r="I276" t="str">
        <f>IF(AND($A276="Dessert",$F276=1),SUMPRODUCT(($A$2:$A276="Dessert")*($F$2:$F276=1)),"")</f>
        <v/>
      </c>
      <c r="J276" t="str">
        <f>IF(AND($A276="Side",$F276=1),SUMPRODUCT(($A$2:$A276="Side")*($F$2:$F276=1)),"")</f>
        <v/>
      </c>
      <c r="K276" t="str">
        <f>IF(AND($A276="Drink",$F276=1),SUMPRODUCT(($A$2:$A276="Drink")*($F$2:$F276=1)),"")</f>
        <v/>
      </c>
      <c r="L276" t="str">
        <f>IF($F276=1,SUMPRODUCT(($F$2:$F276=1)*1),"")</f>
        <v/>
      </c>
    </row>
    <row r="277" spans="7:12">
      <c r="G277" t="str">
        <f>IF(AND($A277="Starter",$F277=1),SUMPRODUCT(($A$2:$A277="Starter")*($F$2:$F277=1)),"")</f>
        <v/>
      </c>
      <c r="H277" t="str">
        <f>IF(AND($A277="Main",$F277=1),SUMPRODUCT(($A$2:$A277="Main")*($F$2:$F277=1)),"")</f>
        <v/>
      </c>
      <c r="I277" t="str">
        <f>IF(AND($A277="Dessert",$F277=1),SUMPRODUCT(($A$2:$A277="Dessert")*($F$2:$F277=1)),"")</f>
        <v/>
      </c>
      <c r="J277" t="str">
        <f>IF(AND($A277="Side",$F277=1),SUMPRODUCT(($A$2:$A277="Side")*($F$2:$F277=1)),"")</f>
        <v/>
      </c>
      <c r="K277" t="str">
        <f>IF(AND($A277="Drink",$F277=1),SUMPRODUCT(($A$2:$A277="Drink")*($F$2:$F277=1)),"")</f>
        <v/>
      </c>
      <c r="L277" t="str">
        <f>IF($F277=1,SUMPRODUCT(($F$2:$F277=1)*1),"")</f>
        <v/>
      </c>
    </row>
    <row r="278" spans="7:12">
      <c r="G278" t="str">
        <f>IF(AND($A278="Starter",$F278=1),SUMPRODUCT(($A$2:$A278="Starter")*($F$2:$F278=1)),"")</f>
        <v/>
      </c>
      <c r="H278" t="str">
        <f>IF(AND($A278="Main",$F278=1),SUMPRODUCT(($A$2:$A278="Main")*($F$2:$F278=1)),"")</f>
        <v/>
      </c>
      <c r="I278" t="str">
        <f>IF(AND($A278="Dessert",$F278=1),SUMPRODUCT(($A$2:$A278="Dessert")*($F$2:$F278=1)),"")</f>
        <v/>
      </c>
      <c r="J278" t="str">
        <f>IF(AND($A278="Side",$F278=1),SUMPRODUCT(($A$2:$A278="Side")*($F$2:$F278=1)),"")</f>
        <v/>
      </c>
      <c r="K278" t="str">
        <f>IF(AND($A278="Drink",$F278=1),SUMPRODUCT(($A$2:$A278="Drink")*($F$2:$F278=1)),"")</f>
        <v/>
      </c>
      <c r="L278" t="str">
        <f>IF($F278=1,SUMPRODUCT(($F$2:$F278=1)*1),"")</f>
        <v/>
      </c>
    </row>
    <row r="279" spans="7:12">
      <c r="G279" t="str">
        <f>IF(AND($A279="Starter",$F279=1),SUMPRODUCT(($A$2:$A279="Starter")*($F$2:$F279=1)),"")</f>
        <v/>
      </c>
      <c r="H279" t="str">
        <f>IF(AND($A279="Main",$F279=1),SUMPRODUCT(($A$2:$A279="Main")*($F$2:$F279=1)),"")</f>
        <v/>
      </c>
      <c r="I279" t="str">
        <f>IF(AND($A279="Dessert",$F279=1),SUMPRODUCT(($A$2:$A279="Dessert")*($F$2:$F279=1)),"")</f>
        <v/>
      </c>
      <c r="J279" t="str">
        <f>IF(AND($A279="Side",$F279=1),SUMPRODUCT(($A$2:$A279="Side")*($F$2:$F279=1)),"")</f>
        <v/>
      </c>
      <c r="K279" t="str">
        <f>IF(AND($A279="Drink",$F279=1),SUMPRODUCT(($A$2:$A279="Drink")*($F$2:$F279=1)),"")</f>
        <v/>
      </c>
      <c r="L279" t="str">
        <f>IF($F279=1,SUMPRODUCT(($F$2:$F279=1)*1),"")</f>
        <v/>
      </c>
    </row>
    <row r="280" spans="7:12">
      <c r="G280" t="str">
        <f>IF(AND($A280="Starter",$F280=1),SUMPRODUCT(($A$2:$A280="Starter")*($F$2:$F280=1)),"")</f>
        <v/>
      </c>
      <c r="H280" t="str">
        <f>IF(AND($A280="Main",$F280=1),SUMPRODUCT(($A$2:$A280="Main")*($F$2:$F280=1)),"")</f>
        <v/>
      </c>
      <c r="I280" t="str">
        <f>IF(AND($A280="Dessert",$F280=1),SUMPRODUCT(($A$2:$A280="Dessert")*($F$2:$F280=1)),"")</f>
        <v/>
      </c>
      <c r="J280" t="str">
        <f>IF(AND($A280="Side",$F280=1),SUMPRODUCT(($A$2:$A280="Side")*($F$2:$F280=1)),"")</f>
        <v/>
      </c>
      <c r="K280" t="str">
        <f>IF(AND($A280="Drink",$F280=1),SUMPRODUCT(($A$2:$A280="Drink")*($F$2:$F280=1)),"")</f>
        <v/>
      </c>
      <c r="L280" t="str">
        <f>IF($F280=1,SUMPRODUCT(($F$2:$F280=1)*1),"")</f>
        <v/>
      </c>
    </row>
    <row r="281" spans="7:12">
      <c r="G281" t="str">
        <f>IF(AND($A281="Starter",$F281=1),SUMPRODUCT(($A$2:$A281="Starter")*($F$2:$F281=1)),"")</f>
        <v/>
      </c>
      <c r="H281" t="str">
        <f>IF(AND($A281="Main",$F281=1),SUMPRODUCT(($A$2:$A281="Main")*($F$2:$F281=1)),"")</f>
        <v/>
      </c>
      <c r="I281" t="str">
        <f>IF(AND($A281="Dessert",$F281=1),SUMPRODUCT(($A$2:$A281="Dessert")*($F$2:$F281=1)),"")</f>
        <v/>
      </c>
      <c r="J281" t="str">
        <f>IF(AND($A281="Side",$F281=1),SUMPRODUCT(($A$2:$A281="Side")*($F$2:$F281=1)),"")</f>
        <v/>
      </c>
      <c r="K281" t="str">
        <f>IF(AND($A281="Drink",$F281=1),SUMPRODUCT(($A$2:$A281="Drink")*($F$2:$F281=1)),"")</f>
        <v/>
      </c>
      <c r="L281" t="str">
        <f>IF($F281=1,SUMPRODUCT(($F$2:$F281=1)*1),"")</f>
        <v/>
      </c>
    </row>
    <row r="282" spans="7:12">
      <c r="G282" t="str">
        <f>IF(AND($A282="Starter",$F282=1),SUMPRODUCT(($A$2:$A282="Starter")*($F$2:$F282=1)),"")</f>
        <v/>
      </c>
      <c r="H282" t="str">
        <f>IF(AND($A282="Main",$F282=1),SUMPRODUCT(($A$2:$A282="Main")*($F$2:$F282=1)),"")</f>
        <v/>
      </c>
      <c r="I282" t="str">
        <f>IF(AND($A282="Dessert",$F282=1),SUMPRODUCT(($A$2:$A282="Dessert")*($F$2:$F282=1)),"")</f>
        <v/>
      </c>
      <c r="J282" t="str">
        <f>IF(AND($A282="Side",$F282=1),SUMPRODUCT(($A$2:$A282="Side")*($F$2:$F282=1)),"")</f>
        <v/>
      </c>
      <c r="K282" t="str">
        <f>IF(AND($A282="Drink",$F282=1),SUMPRODUCT(($A$2:$A282="Drink")*($F$2:$F282=1)),"")</f>
        <v/>
      </c>
      <c r="L282" t="str">
        <f>IF($F282=1,SUMPRODUCT(($F$2:$F282=1)*1),"")</f>
        <v/>
      </c>
    </row>
    <row r="283" spans="7:12">
      <c r="G283" t="str">
        <f>IF(AND($A283="Starter",$F283=1),SUMPRODUCT(($A$2:$A283="Starter")*($F$2:$F283=1)),"")</f>
        <v/>
      </c>
      <c r="H283" t="str">
        <f>IF(AND($A283="Main",$F283=1),SUMPRODUCT(($A$2:$A283="Main")*($F$2:$F283=1)),"")</f>
        <v/>
      </c>
      <c r="I283" t="str">
        <f>IF(AND($A283="Dessert",$F283=1),SUMPRODUCT(($A$2:$A283="Dessert")*($F$2:$F283=1)),"")</f>
        <v/>
      </c>
      <c r="J283" t="str">
        <f>IF(AND($A283="Side",$F283=1),SUMPRODUCT(($A$2:$A283="Side")*($F$2:$F283=1)),"")</f>
        <v/>
      </c>
      <c r="K283" t="str">
        <f>IF(AND($A283="Drink",$F283=1),SUMPRODUCT(($A$2:$A283="Drink")*($F$2:$F283=1)),"")</f>
        <v/>
      </c>
      <c r="L283" t="str">
        <f>IF($F283=1,SUMPRODUCT(($F$2:$F283=1)*1),"")</f>
        <v/>
      </c>
    </row>
    <row r="284" spans="7:12">
      <c r="G284" t="str">
        <f>IF(AND($A284="Starter",$F284=1),SUMPRODUCT(($A$2:$A284="Starter")*($F$2:$F284=1)),"")</f>
        <v/>
      </c>
      <c r="H284" t="str">
        <f>IF(AND($A284="Main",$F284=1),SUMPRODUCT(($A$2:$A284="Main")*($F$2:$F284=1)),"")</f>
        <v/>
      </c>
      <c r="I284" t="str">
        <f>IF(AND($A284="Dessert",$F284=1),SUMPRODUCT(($A$2:$A284="Dessert")*($F$2:$F284=1)),"")</f>
        <v/>
      </c>
      <c r="J284" t="str">
        <f>IF(AND($A284="Side",$F284=1),SUMPRODUCT(($A$2:$A284="Side")*($F$2:$F284=1)),"")</f>
        <v/>
      </c>
      <c r="K284" t="str">
        <f>IF(AND($A284="Drink",$F284=1),SUMPRODUCT(($A$2:$A284="Drink")*($F$2:$F284=1)),"")</f>
        <v/>
      </c>
      <c r="L284" t="str">
        <f>IF($F284=1,SUMPRODUCT(($F$2:$F284=1)*1),"")</f>
        <v/>
      </c>
    </row>
    <row r="285" spans="7:12">
      <c r="G285" t="str">
        <f>IF(AND($A285="Starter",$F285=1),SUMPRODUCT(($A$2:$A285="Starter")*($F$2:$F285=1)),"")</f>
        <v/>
      </c>
      <c r="H285" t="str">
        <f>IF(AND($A285="Main",$F285=1),SUMPRODUCT(($A$2:$A285="Main")*($F$2:$F285=1)),"")</f>
        <v/>
      </c>
      <c r="I285" t="str">
        <f>IF(AND($A285="Dessert",$F285=1),SUMPRODUCT(($A$2:$A285="Dessert")*($F$2:$F285=1)),"")</f>
        <v/>
      </c>
      <c r="J285" t="str">
        <f>IF(AND($A285="Side",$F285=1),SUMPRODUCT(($A$2:$A285="Side")*($F$2:$F285=1)),"")</f>
        <v/>
      </c>
      <c r="K285" t="str">
        <f>IF(AND($A285="Drink",$F285=1),SUMPRODUCT(($A$2:$A285="Drink")*($F$2:$F285=1)),"")</f>
        <v/>
      </c>
      <c r="L285" t="str">
        <f>IF($F285=1,SUMPRODUCT(($F$2:$F285=1)*1),"")</f>
        <v/>
      </c>
    </row>
    <row r="286" spans="7:12">
      <c r="G286" t="str">
        <f>IF(AND($A286="Starter",$F286=1),SUMPRODUCT(($A$2:$A286="Starter")*($F$2:$F286=1)),"")</f>
        <v/>
      </c>
      <c r="H286" t="str">
        <f>IF(AND($A286="Main",$F286=1),SUMPRODUCT(($A$2:$A286="Main")*($F$2:$F286=1)),"")</f>
        <v/>
      </c>
      <c r="I286" t="str">
        <f>IF(AND($A286="Dessert",$F286=1),SUMPRODUCT(($A$2:$A286="Dessert")*($F$2:$F286=1)),"")</f>
        <v/>
      </c>
      <c r="J286" t="str">
        <f>IF(AND($A286="Side",$F286=1),SUMPRODUCT(($A$2:$A286="Side")*($F$2:$F286=1)),"")</f>
        <v/>
      </c>
      <c r="K286" t="str">
        <f>IF(AND($A286="Drink",$F286=1),SUMPRODUCT(($A$2:$A286="Drink")*($F$2:$F286=1)),"")</f>
        <v/>
      </c>
      <c r="L286" t="str">
        <f>IF($F286=1,SUMPRODUCT(($F$2:$F286=1)*1),"")</f>
        <v/>
      </c>
    </row>
    <row r="287" spans="7:12">
      <c r="G287" t="str">
        <f>IF(AND($A287="Starter",$F287=1),SUMPRODUCT(($A$2:$A287="Starter")*($F$2:$F287=1)),"")</f>
        <v/>
      </c>
      <c r="H287" t="str">
        <f>IF(AND($A287="Main",$F287=1),SUMPRODUCT(($A$2:$A287="Main")*($F$2:$F287=1)),"")</f>
        <v/>
      </c>
      <c r="I287" t="str">
        <f>IF(AND($A287="Dessert",$F287=1),SUMPRODUCT(($A$2:$A287="Dessert")*($F$2:$F287=1)),"")</f>
        <v/>
      </c>
      <c r="J287" t="str">
        <f>IF(AND($A287="Side",$F287=1),SUMPRODUCT(($A$2:$A287="Side")*($F$2:$F287=1)),"")</f>
        <v/>
      </c>
      <c r="K287" t="str">
        <f>IF(AND($A287="Drink",$F287=1),SUMPRODUCT(($A$2:$A287="Drink")*($F$2:$F287=1)),"")</f>
        <v/>
      </c>
      <c r="L287" t="str">
        <f>IF($F287=1,SUMPRODUCT(($F$2:$F287=1)*1),"")</f>
        <v/>
      </c>
    </row>
    <row r="288" spans="7:12">
      <c r="G288" t="str">
        <f>IF(AND($A288="Starter",$F288=1),SUMPRODUCT(($A$2:$A288="Starter")*($F$2:$F288=1)),"")</f>
        <v/>
      </c>
      <c r="H288" t="str">
        <f>IF(AND($A288="Main",$F288=1),SUMPRODUCT(($A$2:$A288="Main")*($F$2:$F288=1)),"")</f>
        <v/>
      </c>
      <c r="I288" t="str">
        <f>IF(AND($A288="Dessert",$F288=1),SUMPRODUCT(($A$2:$A288="Dessert")*($F$2:$F288=1)),"")</f>
        <v/>
      </c>
      <c r="J288" t="str">
        <f>IF(AND($A288="Side",$F288=1),SUMPRODUCT(($A$2:$A288="Side")*($F$2:$F288=1)),"")</f>
        <v/>
      </c>
      <c r="K288" t="str">
        <f>IF(AND($A288="Drink",$F288=1),SUMPRODUCT(($A$2:$A288="Drink")*($F$2:$F288=1)),"")</f>
        <v/>
      </c>
      <c r="L288" t="str">
        <f>IF($F288=1,SUMPRODUCT(($F$2:$F288=1)*1),"")</f>
        <v/>
      </c>
    </row>
    <row r="289" spans="7:12">
      <c r="G289" t="str">
        <f>IF(AND($A289="Starter",$F289=1),SUMPRODUCT(($A$2:$A289="Starter")*($F$2:$F289=1)),"")</f>
        <v/>
      </c>
      <c r="H289" t="str">
        <f>IF(AND($A289="Main",$F289=1),SUMPRODUCT(($A$2:$A289="Main")*($F$2:$F289=1)),"")</f>
        <v/>
      </c>
      <c r="I289" t="str">
        <f>IF(AND($A289="Dessert",$F289=1),SUMPRODUCT(($A$2:$A289="Dessert")*($F$2:$F289=1)),"")</f>
        <v/>
      </c>
      <c r="J289" t="str">
        <f>IF(AND($A289="Side",$F289=1),SUMPRODUCT(($A$2:$A289="Side")*($F$2:$F289=1)),"")</f>
        <v/>
      </c>
      <c r="K289" t="str">
        <f>IF(AND($A289="Drink",$F289=1),SUMPRODUCT(($A$2:$A289="Drink")*($F$2:$F289=1)),"")</f>
        <v/>
      </c>
      <c r="L289" t="str">
        <f>IF($F289=1,SUMPRODUCT(($F$2:$F289=1)*1),"")</f>
        <v/>
      </c>
    </row>
    <row r="290" spans="7:12">
      <c r="G290" t="str">
        <f>IF(AND($A290="Starter",$F290=1),SUMPRODUCT(($A$2:$A290="Starter")*($F$2:$F290=1)),"")</f>
        <v/>
      </c>
      <c r="H290" t="str">
        <f>IF(AND($A290="Main",$F290=1),SUMPRODUCT(($A$2:$A290="Main")*($F$2:$F290=1)),"")</f>
        <v/>
      </c>
      <c r="I290" t="str">
        <f>IF(AND($A290="Dessert",$F290=1),SUMPRODUCT(($A$2:$A290="Dessert")*($F$2:$F290=1)),"")</f>
        <v/>
      </c>
      <c r="J290" t="str">
        <f>IF(AND($A290="Side",$F290=1),SUMPRODUCT(($A$2:$A290="Side")*($F$2:$F290=1)),"")</f>
        <v/>
      </c>
      <c r="K290" t="str">
        <f>IF(AND($A290="Drink",$F290=1),SUMPRODUCT(($A$2:$A290="Drink")*($F$2:$F290=1)),"")</f>
        <v/>
      </c>
      <c r="L290" t="str">
        <f>IF($F290=1,SUMPRODUCT(($F$2:$F290=1)*1),"")</f>
        <v/>
      </c>
    </row>
    <row r="291" spans="7:12">
      <c r="G291" t="str">
        <f>IF(AND($A291="Starter",$F291=1),SUMPRODUCT(($A$2:$A291="Starter")*($F$2:$F291=1)),"")</f>
        <v/>
      </c>
      <c r="H291" t="str">
        <f>IF(AND($A291="Main",$F291=1),SUMPRODUCT(($A$2:$A291="Main")*($F$2:$F291=1)),"")</f>
        <v/>
      </c>
      <c r="I291" t="str">
        <f>IF(AND($A291="Dessert",$F291=1),SUMPRODUCT(($A$2:$A291="Dessert")*($F$2:$F291=1)),"")</f>
        <v/>
      </c>
      <c r="J291" t="str">
        <f>IF(AND($A291="Side",$F291=1),SUMPRODUCT(($A$2:$A291="Side")*($F$2:$F291=1)),"")</f>
        <v/>
      </c>
      <c r="K291" t="str">
        <f>IF(AND($A291="Drink",$F291=1),SUMPRODUCT(($A$2:$A291="Drink")*($F$2:$F291=1)),"")</f>
        <v/>
      </c>
      <c r="L291" t="str">
        <f>IF($F291=1,SUMPRODUCT(($F$2:$F291=1)*1),"")</f>
        <v/>
      </c>
    </row>
    <row r="292" spans="7:12">
      <c r="G292" t="str">
        <f>IF(AND($A292="Starter",$F292=1),SUMPRODUCT(($A$2:$A292="Starter")*($F$2:$F292=1)),"")</f>
        <v/>
      </c>
      <c r="H292" t="str">
        <f>IF(AND($A292="Main",$F292=1),SUMPRODUCT(($A$2:$A292="Main")*($F$2:$F292=1)),"")</f>
        <v/>
      </c>
      <c r="I292" t="str">
        <f>IF(AND($A292="Dessert",$F292=1),SUMPRODUCT(($A$2:$A292="Dessert")*($F$2:$F292=1)),"")</f>
        <v/>
      </c>
      <c r="J292" t="str">
        <f>IF(AND($A292="Side",$F292=1),SUMPRODUCT(($A$2:$A292="Side")*($F$2:$F292=1)),"")</f>
        <v/>
      </c>
      <c r="K292" t="str">
        <f>IF(AND($A292="Drink",$F292=1),SUMPRODUCT(($A$2:$A292="Drink")*($F$2:$F292=1)),"")</f>
        <v/>
      </c>
      <c r="L292" t="str">
        <f>IF($F292=1,SUMPRODUCT(($F$2:$F292=1)*1),"")</f>
        <v/>
      </c>
    </row>
    <row r="293" spans="7:12">
      <c r="G293" t="str">
        <f>IF(AND($A293="Starter",$F293=1),SUMPRODUCT(($A$2:$A293="Starter")*($F$2:$F293=1)),"")</f>
        <v/>
      </c>
      <c r="H293" t="str">
        <f>IF(AND($A293="Main",$F293=1),SUMPRODUCT(($A$2:$A293="Main")*($F$2:$F293=1)),"")</f>
        <v/>
      </c>
      <c r="I293" t="str">
        <f>IF(AND($A293="Dessert",$F293=1),SUMPRODUCT(($A$2:$A293="Dessert")*($F$2:$F293=1)),"")</f>
        <v/>
      </c>
      <c r="J293" t="str">
        <f>IF(AND($A293="Side",$F293=1),SUMPRODUCT(($A$2:$A293="Side")*($F$2:$F293=1)),"")</f>
        <v/>
      </c>
      <c r="K293" t="str">
        <f>IF(AND($A293="Drink",$F293=1),SUMPRODUCT(($A$2:$A293="Drink")*($F$2:$F293=1)),"")</f>
        <v/>
      </c>
      <c r="L293" t="str">
        <f>IF($F293=1,SUMPRODUCT(($F$2:$F293=1)*1),"")</f>
        <v/>
      </c>
    </row>
    <row r="294" spans="7:12">
      <c r="G294" t="str">
        <f>IF(AND($A294="Starter",$F294=1),SUMPRODUCT(($A$2:$A294="Starter")*($F$2:$F294=1)),"")</f>
        <v/>
      </c>
      <c r="H294" t="str">
        <f>IF(AND($A294="Main",$F294=1),SUMPRODUCT(($A$2:$A294="Main")*($F$2:$F294=1)),"")</f>
        <v/>
      </c>
      <c r="I294" t="str">
        <f>IF(AND($A294="Dessert",$F294=1),SUMPRODUCT(($A$2:$A294="Dessert")*($F$2:$F294=1)),"")</f>
        <v/>
      </c>
      <c r="J294" t="str">
        <f>IF(AND($A294="Side",$F294=1),SUMPRODUCT(($A$2:$A294="Side")*($F$2:$F294=1)),"")</f>
        <v/>
      </c>
      <c r="K294" t="str">
        <f>IF(AND($A294="Drink",$F294=1),SUMPRODUCT(($A$2:$A294="Drink")*($F$2:$F294=1)),"")</f>
        <v/>
      </c>
      <c r="L294" t="str">
        <f>IF($F294=1,SUMPRODUCT(($F$2:$F294=1)*1),"")</f>
        <v/>
      </c>
    </row>
    <row r="295" spans="7:12">
      <c r="G295" t="str">
        <f>IF(AND($A295="Starter",$F295=1),SUMPRODUCT(($A$2:$A295="Starter")*($F$2:$F295=1)),"")</f>
        <v/>
      </c>
      <c r="H295" t="str">
        <f>IF(AND($A295="Main",$F295=1),SUMPRODUCT(($A$2:$A295="Main")*($F$2:$F295=1)),"")</f>
        <v/>
      </c>
      <c r="I295" t="str">
        <f>IF(AND($A295="Dessert",$F295=1),SUMPRODUCT(($A$2:$A295="Dessert")*($F$2:$F295=1)),"")</f>
        <v/>
      </c>
      <c r="J295" t="str">
        <f>IF(AND($A295="Side",$F295=1),SUMPRODUCT(($A$2:$A295="Side")*($F$2:$F295=1)),"")</f>
        <v/>
      </c>
      <c r="K295" t="str">
        <f>IF(AND($A295="Drink",$F295=1),SUMPRODUCT(($A$2:$A295="Drink")*($F$2:$F295=1)),"")</f>
        <v/>
      </c>
      <c r="L295" t="str">
        <f>IF($F295=1,SUMPRODUCT(($F$2:$F295=1)*1),"")</f>
        <v/>
      </c>
    </row>
    <row r="296" spans="7:12">
      <c r="G296" t="str">
        <f>IF(AND($A296="Starter",$F296=1),SUMPRODUCT(($A$2:$A296="Starter")*($F$2:$F296=1)),"")</f>
        <v/>
      </c>
      <c r="H296" t="str">
        <f>IF(AND($A296="Main",$F296=1),SUMPRODUCT(($A$2:$A296="Main")*($F$2:$F296=1)),"")</f>
        <v/>
      </c>
      <c r="I296" t="str">
        <f>IF(AND($A296="Dessert",$F296=1),SUMPRODUCT(($A$2:$A296="Dessert")*($F$2:$F296=1)),"")</f>
        <v/>
      </c>
      <c r="J296" t="str">
        <f>IF(AND($A296="Side",$F296=1),SUMPRODUCT(($A$2:$A296="Side")*($F$2:$F296=1)),"")</f>
        <v/>
      </c>
      <c r="K296" t="str">
        <f>IF(AND($A296="Drink",$F296=1),SUMPRODUCT(($A$2:$A296="Drink")*($F$2:$F296=1)),"")</f>
        <v/>
      </c>
      <c r="L296" t="str">
        <f>IF($F296=1,SUMPRODUCT(($F$2:$F296=1)*1),"")</f>
        <v/>
      </c>
    </row>
    <row r="297" spans="7:12">
      <c r="G297" t="str">
        <f>IF(AND($A297="Starter",$F297=1),SUMPRODUCT(($A$2:$A297="Starter")*($F$2:$F297=1)),"")</f>
        <v/>
      </c>
      <c r="H297" t="str">
        <f>IF(AND($A297="Main",$F297=1),SUMPRODUCT(($A$2:$A297="Main")*($F$2:$F297=1)),"")</f>
        <v/>
      </c>
      <c r="I297" t="str">
        <f>IF(AND($A297="Dessert",$F297=1),SUMPRODUCT(($A$2:$A297="Dessert")*($F$2:$F297=1)),"")</f>
        <v/>
      </c>
      <c r="J297" t="str">
        <f>IF(AND($A297="Side",$F297=1),SUMPRODUCT(($A$2:$A297="Side")*($F$2:$F297=1)),"")</f>
        <v/>
      </c>
      <c r="K297" t="str">
        <f>IF(AND($A297="Drink",$F297=1),SUMPRODUCT(($A$2:$A297="Drink")*($F$2:$F297=1)),"")</f>
        <v/>
      </c>
      <c r="L297" t="str">
        <f>IF($F297=1,SUMPRODUCT(($F$2:$F297=1)*1),"")</f>
        <v/>
      </c>
    </row>
    <row r="298" spans="7:12">
      <c r="G298" t="str">
        <f>IF(AND($A298="Starter",$F298=1),SUMPRODUCT(($A$2:$A298="Starter")*($F$2:$F298=1)),"")</f>
        <v/>
      </c>
      <c r="H298" t="str">
        <f>IF(AND($A298="Main",$F298=1),SUMPRODUCT(($A$2:$A298="Main")*($F$2:$F298=1)),"")</f>
        <v/>
      </c>
      <c r="I298" t="str">
        <f>IF(AND($A298="Dessert",$F298=1),SUMPRODUCT(($A$2:$A298="Dessert")*($F$2:$F298=1)),"")</f>
        <v/>
      </c>
      <c r="J298" t="str">
        <f>IF(AND($A298="Side",$F298=1),SUMPRODUCT(($A$2:$A298="Side")*($F$2:$F298=1)),"")</f>
        <v/>
      </c>
      <c r="K298" t="str">
        <f>IF(AND($A298="Drink",$F298=1),SUMPRODUCT(($A$2:$A298="Drink")*($F$2:$F298=1)),"")</f>
        <v/>
      </c>
      <c r="L298" t="str">
        <f>IF($F298=1,SUMPRODUCT(($F$2:$F298=1)*1),"")</f>
        <v/>
      </c>
    </row>
    <row r="299" spans="7:12">
      <c r="G299" t="str">
        <f>IF(AND($A299="Starter",$F299=1),SUMPRODUCT(($A$2:$A299="Starter")*($F$2:$F299=1)),"")</f>
        <v/>
      </c>
      <c r="H299" t="str">
        <f>IF(AND($A299="Main",$F299=1),SUMPRODUCT(($A$2:$A299="Main")*($F$2:$F299=1)),"")</f>
        <v/>
      </c>
      <c r="I299" t="str">
        <f>IF(AND($A299="Dessert",$F299=1),SUMPRODUCT(($A$2:$A299="Dessert")*($F$2:$F299=1)),"")</f>
        <v/>
      </c>
      <c r="J299" t="str">
        <f>IF(AND($A299="Side",$F299=1),SUMPRODUCT(($A$2:$A299="Side")*($F$2:$F299=1)),"")</f>
        <v/>
      </c>
      <c r="K299" t="str">
        <f>IF(AND($A299="Drink",$F299=1),SUMPRODUCT(($A$2:$A299="Drink")*($F$2:$F299=1)),"")</f>
        <v/>
      </c>
      <c r="L299" t="str">
        <f>IF($F299=1,SUMPRODUCT(($F$2:$F299=1)*1),"")</f>
        <v/>
      </c>
    </row>
    <row r="300" spans="7:12">
      <c r="G300" t="str">
        <f>IF(AND($A300="Starter",$F300=1),SUMPRODUCT(($A$2:$A300="Starter")*($F$2:$F300=1)),"")</f>
        <v/>
      </c>
      <c r="H300" t="str">
        <f>IF(AND($A300="Main",$F300=1),SUMPRODUCT(($A$2:$A300="Main")*($F$2:$F300=1)),"")</f>
        <v/>
      </c>
      <c r="I300" t="str">
        <f>IF(AND($A300="Dessert",$F300=1),SUMPRODUCT(($A$2:$A300="Dessert")*($F$2:$F300=1)),"")</f>
        <v/>
      </c>
      <c r="J300" t="str">
        <f>IF(AND($A300="Side",$F300=1),SUMPRODUCT(($A$2:$A300="Side")*($F$2:$F300=1)),"")</f>
        <v/>
      </c>
      <c r="K300" t="str">
        <f>IF(AND($A300="Drink",$F300=1),SUMPRODUCT(($A$2:$A300="Drink")*($F$2:$F300=1)),"")</f>
        <v/>
      </c>
      <c r="L300" t="str">
        <f>IF($F300=1,SUMPRODUCT(($F$2:$F300=1)*1),"")</f>
        <v/>
      </c>
    </row>
    <row r="301" spans="7:12">
      <c r="G301" t="str">
        <f>IF(AND($A301="Starter",$F301=1),SUMPRODUCT(($A$2:$A301="Starter")*($F$2:$F301=1)),"")</f>
        <v/>
      </c>
      <c r="H301" t="str">
        <f>IF(AND($A301="Main",$F301=1),SUMPRODUCT(($A$2:$A301="Main")*($F$2:$F301=1)),"")</f>
        <v/>
      </c>
      <c r="I301" t="str">
        <f>IF(AND($A301="Dessert",$F301=1),SUMPRODUCT(($A$2:$A301="Dessert")*($F$2:$F301=1)),"")</f>
        <v/>
      </c>
      <c r="J301" t="str">
        <f>IF(AND($A301="Side",$F301=1),SUMPRODUCT(($A$2:$A301="Side")*($F$2:$F301=1)),"")</f>
        <v/>
      </c>
      <c r="K301" t="str">
        <f>IF(AND($A301="Drink",$F301=1),SUMPRODUCT(($A$2:$A301="Drink")*($F$2:$F301=1)),"")</f>
        <v/>
      </c>
      <c r="L301" t="str">
        <f>IF($F301=1,SUMPRODUCT(($F$2:$F301=1)*1),"")</f>
        <v/>
      </c>
    </row>
    <row r="302" spans="7:12">
      <c r="G302" t="str">
        <f>IF(AND($A302="Starter",$F302=1),SUMPRODUCT(($A$2:$A302="Starter")*($F$2:$F302=1)),"")</f>
        <v/>
      </c>
      <c r="H302" t="str">
        <f>IF(AND($A302="Main",$F302=1),SUMPRODUCT(($A$2:$A302="Main")*($F$2:$F302=1)),"")</f>
        <v/>
      </c>
      <c r="I302" t="str">
        <f>IF(AND($A302="Dessert",$F302=1),SUMPRODUCT(($A$2:$A302="Dessert")*($F$2:$F302=1)),"")</f>
        <v/>
      </c>
      <c r="J302" t="str">
        <f>IF(AND($A302="Side",$F302=1),SUMPRODUCT(($A$2:$A302="Side")*($F$2:$F302=1)),"")</f>
        <v/>
      </c>
      <c r="K302" t="str">
        <f>IF(AND($A302="Drink",$F302=1),SUMPRODUCT(($A$2:$A302="Drink")*($F$2:$F302=1)),"")</f>
        <v/>
      </c>
      <c r="L302" t="str">
        <f>IF($F302=1,SUMPRODUCT(($F$2:$F302=1)*1),"")</f>
        <v/>
      </c>
    </row>
    <row r="303" spans="7:12">
      <c r="G303" t="str">
        <f>IF(AND($A303="Starter",$F303=1),SUMPRODUCT(($A$2:$A303="Starter")*($F$2:$F303=1)),"")</f>
        <v/>
      </c>
      <c r="H303" t="str">
        <f>IF(AND($A303="Main",$F303=1),SUMPRODUCT(($A$2:$A303="Main")*($F$2:$F303=1)),"")</f>
        <v/>
      </c>
      <c r="I303" t="str">
        <f>IF(AND($A303="Dessert",$F303=1),SUMPRODUCT(($A$2:$A303="Dessert")*($F$2:$F303=1)),"")</f>
        <v/>
      </c>
      <c r="J303" t="str">
        <f>IF(AND($A303="Side",$F303=1),SUMPRODUCT(($A$2:$A303="Side")*($F$2:$F303=1)),"")</f>
        <v/>
      </c>
      <c r="K303" t="str">
        <f>IF(AND($A303="Drink",$F303=1),SUMPRODUCT(($A$2:$A303="Drink")*($F$2:$F303=1)),"")</f>
        <v/>
      </c>
      <c r="L303" t="str">
        <f>IF($F303=1,SUMPRODUCT(($F$2:$F303=1)*1),"")</f>
        <v/>
      </c>
    </row>
    <row r="304" spans="7:12">
      <c r="G304" t="str">
        <f>IF(AND($A304="Starter",$F304=1),SUMPRODUCT(($A$2:$A304="Starter")*($F$2:$F304=1)),"")</f>
        <v/>
      </c>
      <c r="H304" t="str">
        <f>IF(AND($A304="Main",$F304=1),SUMPRODUCT(($A$2:$A304="Main")*($F$2:$F304=1)),"")</f>
        <v/>
      </c>
      <c r="I304" t="str">
        <f>IF(AND($A304="Dessert",$F304=1),SUMPRODUCT(($A$2:$A304="Dessert")*($F$2:$F304=1)),"")</f>
        <v/>
      </c>
      <c r="J304" t="str">
        <f>IF(AND($A304="Side",$F304=1),SUMPRODUCT(($A$2:$A304="Side")*($F$2:$F304=1)),"")</f>
        <v/>
      </c>
      <c r="K304" t="str">
        <f>IF(AND($A304="Drink",$F304=1),SUMPRODUCT(($A$2:$A304="Drink")*($F$2:$F304=1)),"")</f>
        <v/>
      </c>
      <c r="L304" t="str">
        <f>IF($F304=1,SUMPRODUCT(($F$2:$F304=1)*1),"")</f>
        <v/>
      </c>
    </row>
    <row r="305" spans="7:12">
      <c r="G305" t="str">
        <f>IF(AND($A305="Starter",$F305=1),SUMPRODUCT(($A$2:$A305="Starter")*($F$2:$F305=1)),"")</f>
        <v/>
      </c>
      <c r="H305" t="str">
        <f>IF(AND($A305="Main",$F305=1),SUMPRODUCT(($A$2:$A305="Main")*($F$2:$F305=1)),"")</f>
        <v/>
      </c>
      <c r="I305" t="str">
        <f>IF(AND($A305="Dessert",$F305=1),SUMPRODUCT(($A$2:$A305="Dessert")*($F$2:$F305=1)),"")</f>
        <v/>
      </c>
      <c r="J305" t="str">
        <f>IF(AND($A305="Side",$F305=1),SUMPRODUCT(($A$2:$A305="Side")*($F$2:$F305=1)),"")</f>
        <v/>
      </c>
      <c r="K305" t="str">
        <f>IF(AND($A305="Drink",$F305=1),SUMPRODUCT(($A$2:$A305="Drink")*($F$2:$F305=1)),"")</f>
        <v/>
      </c>
      <c r="L305" t="str">
        <f>IF($F305=1,SUMPRODUCT(($F$2:$F305=1)*1),"")</f>
        <v/>
      </c>
    </row>
    <row r="306" spans="7:12">
      <c r="G306" t="str">
        <f>IF(AND($A306="Starter",$F306=1),SUMPRODUCT(($A$2:$A306="Starter")*($F$2:$F306=1)),"")</f>
        <v/>
      </c>
      <c r="H306" t="str">
        <f>IF(AND($A306="Main",$F306=1),SUMPRODUCT(($A$2:$A306="Main")*($F$2:$F306=1)),"")</f>
        <v/>
      </c>
      <c r="I306" t="str">
        <f>IF(AND($A306="Dessert",$F306=1),SUMPRODUCT(($A$2:$A306="Dessert")*($F$2:$F306=1)),"")</f>
        <v/>
      </c>
      <c r="J306" t="str">
        <f>IF(AND($A306="Side",$F306=1),SUMPRODUCT(($A$2:$A306="Side")*($F$2:$F306=1)),"")</f>
        <v/>
      </c>
      <c r="K306" t="str">
        <f>IF(AND($A306="Drink",$F306=1),SUMPRODUCT(($A$2:$A306="Drink")*($F$2:$F306=1)),"")</f>
        <v/>
      </c>
      <c r="L306" t="str">
        <f>IF($F306=1,SUMPRODUCT(($F$2:$F306=1)*1),"")</f>
        <v/>
      </c>
    </row>
    <row r="307" spans="7:12">
      <c r="G307" t="str">
        <f>IF(AND($A307="Starter",$F307=1),SUMPRODUCT(($A$2:$A307="Starter")*($F$2:$F307=1)),"")</f>
        <v/>
      </c>
      <c r="H307" t="str">
        <f>IF(AND($A307="Main",$F307=1),SUMPRODUCT(($A$2:$A307="Main")*($F$2:$F307=1)),"")</f>
        <v/>
      </c>
      <c r="I307" t="str">
        <f>IF(AND($A307="Dessert",$F307=1),SUMPRODUCT(($A$2:$A307="Dessert")*($F$2:$F307=1)),"")</f>
        <v/>
      </c>
      <c r="J307" t="str">
        <f>IF(AND($A307="Side",$F307=1),SUMPRODUCT(($A$2:$A307="Side")*($F$2:$F307=1)),"")</f>
        <v/>
      </c>
      <c r="K307" t="str">
        <f>IF(AND($A307="Drink",$F307=1),SUMPRODUCT(($A$2:$A307="Drink")*($F$2:$F307=1)),"")</f>
        <v/>
      </c>
      <c r="L307" t="str">
        <f>IF($F307=1,SUMPRODUCT(($F$2:$F307=1)*1),"")</f>
        <v/>
      </c>
    </row>
    <row r="308" spans="7:12">
      <c r="G308" t="str">
        <f>IF(AND($A308="Starter",$F308=1),SUMPRODUCT(($A$2:$A308="Starter")*($F$2:$F308=1)),"")</f>
        <v/>
      </c>
      <c r="H308" t="str">
        <f>IF(AND($A308="Main",$F308=1),SUMPRODUCT(($A$2:$A308="Main")*($F$2:$F308=1)),"")</f>
        <v/>
      </c>
      <c r="I308" t="str">
        <f>IF(AND($A308="Dessert",$F308=1),SUMPRODUCT(($A$2:$A308="Dessert")*($F$2:$F308=1)),"")</f>
        <v/>
      </c>
      <c r="J308" t="str">
        <f>IF(AND($A308="Side",$F308=1),SUMPRODUCT(($A$2:$A308="Side")*($F$2:$F308=1)),"")</f>
        <v/>
      </c>
      <c r="K308" t="str">
        <f>IF(AND($A308="Drink",$F308=1),SUMPRODUCT(($A$2:$A308="Drink")*($F$2:$F308=1)),"")</f>
        <v/>
      </c>
      <c r="L308" t="str">
        <f>IF($F308=1,SUMPRODUCT(($F$2:$F308=1)*1),"")</f>
        <v/>
      </c>
    </row>
    <row r="309" spans="7:12">
      <c r="G309" t="str">
        <f>IF(AND($A309="Starter",$F309=1),SUMPRODUCT(($A$2:$A309="Starter")*($F$2:$F309=1)),"")</f>
        <v/>
      </c>
      <c r="H309" t="str">
        <f>IF(AND($A309="Main",$F309=1),SUMPRODUCT(($A$2:$A309="Main")*($F$2:$F309=1)),"")</f>
        <v/>
      </c>
      <c r="I309" t="str">
        <f>IF(AND($A309="Dessert",$F309=1),SUMPRODUCT(($A$2:$A309="Dessert")*($F$2:$F309=1)),"")</f>
        <v/>
      </c>
      <c r="J309" t="str">
        <f>IF(AND($A309="Side",$F309=1),SUMPRODUCT(($A$2:$A309="Side")*($F$2:$F309=1)),"")</f>
        <v/>
      </c>
      <c r="K309" t="str">
        <f>IF(AND($A309="Drink",$F309=1),SUMPRODUCT(($A$2:$A309="Drink")*($F$2:$F309=1)),"")</f>
        <v/>
      </c>
      <c r="L309" t="str">
        <f>IF($F309=1,SUMPRODUCT(($F$2:$F309=1)*1),"")</f>
        <v/>
      </c>
    </row>
    <row r="310" spans="7:12">
      <c r="G310" t="str">
        <f>IF(AND($A310="Starter",$F310=1),SUMPRODUCT(($A$2:$A310="Starter")*($F$2:$F310=1)),"")</f>
        <v/>
      </c>
      <c r="H310" t="str">
        <f>IF(AND($A310="Main",$F310=1),SUMPRODUCT(($A$2:$A310="Main")*($F$2:$F310=1)),"")</f>
        <v/>
      </c>
      <c r="I310" t="str">
        <f>IF(AND($A310="Dessert",$F310=1),SUMPRODUCT(($A$2:$A310="Dessert")*($F$2:$F310=1)),"")</f>
        <v/>
      </c>
      <c r="J310" t="str">
        <f>IF(AND($A310="Side",$F310=1),SUMPRODUCT(($A$2:$A310="Side")*($F$2:$F310=1)),"")</f>
        <v/>
      </c>
      <c r="K310" t="str">
        <f>IF(AND($A310="Drink",$F310=1),SUMPRODUCT(($A$2:$A310="Drink")*($F$2:$F310=1)),"")</f>
        <v/>
      </c>
      <c r="L310" t="str">
        <f>IF($F310=1,SUMPRODUCT(($F$2:$F310=1)*1),"")</f>
        <v/>
      </c>
    </row>
    <row r="311" spans="7:12">
      <c r="G311" t="str">
        <f>IF(AND($A311="Starter",$F311=1),SUMPRODUCT(($A$2:$A311="Starter")*($F$2:$F311=1)),"")</f>
        <v/>
      </c>
      <c r="H311" t="str">
        <f>IF(AND($A311="Main",$F311=1),SUMPRODUCT(($A$2:$A311="Main")*($F$2:$F311=1)),"")</f>
        <v/>
      </c>
      <c r="I311" t="str">
        <f>IF(AND($A311="Dessert",$F311=1),SUMPRODUCT(($A$2:$A311="Dessert")*($F$2:$F311=1)),"")</f>
        <v/>
      </c>
      <c r="J311" t="str">
        <f>IF(AND($A311="Side",$F311=1),SUMPRODUCT(($A$2:$A311="Side")*($F$2:$F311=1)),"")</f>
        <v/>
      </c>
      <c r="K311" t="str">
        <f>IF(AND($A311="Drink",$F311=1),SUMPRODUCT(($A$2:$A311="Drink")*($F$2:$F311=1)),"")</f>
        <v/>
      </c>
      <c r="L311" t="str">
        <f>IF($F311=1,SUMPRODUCT(($F$2:$F311=1)*1),"")</f>
        <v/>
      </c>
    </row>
    <row r="312" spans="7:12">
      <c r="G312" t="str">
        <f>IF(AND($A312="Starter",$F312=1),SUMPRODUCT(($A$2:$A312="Starter")*($F$2:$F312=1)),"")</f>
        <v/>
      </c>
      <c r="H312" t="str">
        <f>IF(AND($A312="Main",$F312=1),SUMPRODUCT(($A$2:$A312="Main")*($F$2:$F312=1)),"")</f>
        <v/>
      </c>
      <c r="I312" t="str">
        <f>IF(AND($A312="Dessert",$F312=1),SUMPRODUCT(($A$2:$A312="Dessert")*($F$2:$F312=1)),"")</f>
        <v/>
      </c>
      <c r="J312" t="str">
        <f>IF(AND($A312="Side",$F312=1),SUMPRODUCT(($A$2:$A312="Side")*($F$2:$F312=1)),"")</f>
        <v/>
      </c>
      <c r="K312" t="str">
        <f>IF(AND($A312="Drink",$F312=1),SUMPRODUCT(($A$2:$A312="Drink")*($F$2:$F312=1)),"")</f>
        <v/>
      </c>
      <c r="L312" t="str">
        <f>IF($F312=1,SUMPRODUCT(($F$2:$F312=1)*1),"")</f>
        <v/>
      </c>
    </row>
    <row r="313" spans="7:12">
      <c r="G313" t="str">
        <f>IF(AND($A313="Starter",$F313=1),SUMPRODUCT(($A$2:$A313="Starter")*($F$2:$F313=1)),"")</f>
        <v/>
      </c>
      <c r="H313" t="str">
        <f>IF(AND($A313="Main",$F313=1),SUMPRODUCT(($A$2:$A313="Main")*($F$2:$F313=1)),"")</f>
        <v/>
      </c>
      <c r="I313" t="str">
        <f>IF(AND($A313="Dessert",$F313=1),SUMPRODUCT(($A$2:$A313="Dessert")*($F$2:$F313=1)),"")</f>
        <v/>
      </c>
      <c r="J313" t="str">
        <f>IF(AND($A313="Side",$F313=1),SUMPRODUCT(($A$2:$A313="Side")*($F$2:$F313=1)),"")</f>
        <v/>
      </c>
      <c r="K313" t="str">
        <f>IF(AND($A313="Drink",$F313=1),SUMPRODUCT(($A$2:$A313="Drink")*($F$2:$F313=1)),"")</f>
        <v/>
      </c>
      <c r="L313" t="str">
        <f>IF($F313=1,SUMPRODUCT(($F$2:$F313=1)*1),"")</f>
        <v/>
      </c>
    </row>
    <row r="314" spans="7:12">
      <c r="G314" t="str">
        <f>IF(AND($A314="Starter",$F314=1),SUMPRODUCT(($A$2:$A314="Starter")*($F$2:$F314=1)),"")</f>
        <v/>
      </c>
      <c r="H314" t="str">
        <f>IF(AND($A314="Main",$F314=1),SUMPRODUCT(($A$2:$A314="Main")*($F$2:$F314=1)),"")</f>
        <v/>
      </c>
      <c r="I314" t="str">
        <f>IF(AND($A314="Dessert",$F314=1),SUMPRODUCT(($A$2:$A314="Dessert")*($F$2:$F314=1)),"")</f>
        <v/>
      </c>
      <c r="J314" t="str">
        <f>IF(AND($A314="Side",$F314=1),SUMPRODUCT(($A$2:$A314="Side")*($F$2:$F314=1)),"")</f>
        <v/>
      </c>
      <c r="K314" t="str">
        <f>IF(AND($A314="Drink",$F314=1),SUMPRODUCT(($A$2:$A314="Drink")*($F$2:$F314=1)),"")</f>
        <v/>
      </c>
      <c r="L314" t="str">
        <f>IF($F314=1,SUMPRODUCT(($F$2:$F314=1)*1),"")</f>
        <v/>
      </c>
    </row>
    <row r="315" spans="7:12">
      <c r="G315" t="str">
        <f>IF(AND($A315="Starter",$F315=1),SUMPRODUCT(($A$2:$A315="Starter")*($F$2:$F315=1)),"")</f>
        <v/>
      </c>
      <c r="H315" t="str">
        <f>IF(AND($A315="Main",$F315=1),SUMPRODUCT(($A$2:$A315="Main")*($F$2:$F315=1)),"")</f>
        <v/>
      </c>
      <c r="I315" t="str">
        <f>IF(AND($A315="Dessert",$F315=1),SUMPRODUCT(($A$2:$A315="Dessert")*($F$2:$F315=1)),"")</f>
        <v/>
      </c>
      <c r="J315" t="str">
        <f>IF(AND($A315="Side",$F315=1),SUMPRODUCT(($A$2:$A315="Side")*($F$2:$F315=1)),"")</f>
        <v/>
      </c>
      <c r="K315" t="str">
        <f>IF(AND($A315="Drink",$F315=1),SUMPRODUCT(($A$2:$A315="Drink")*($F$2:$F315=1)),"")</f>
        <v/>
      </c>
      <c r="L315" t="str">
        <f>IF($F315=1,SUMPRODUCT(($F$2:$F315=1)*1),"")</f>
        <v/>
      </c>
    </row>
    <row r="316" spans="7:12">
      <c r="G316" t="str">
        <f>IF(AND($A316="Starter",$F316=1),SUMPRODUCT(($A$2:$A316="Starter")*($F$2:$F316=1)),"")</f>
        <v/>
      </c>
      <c r="H316" t="str">
        <f>IF(AND($A316="Main",$F316=1),SUMPRODUCT(($A$2:$A316="Main")*($F$2:$F316=1)),"")</f>
        <v/>
      </c>
      <c r="I316" t="str">
        <f>IF(AND($A316="Dessert",$F316=1),SUMPRODUCT(($A$2:$A316="Dessert")*($F$2:$F316=1)),"")</f>
        <v/>
      </c>
      <c r="J316" t="str">
        <f>IF(AND($A316="Side",$F316=1),SUMPRODUCT(($A$2:$A316="Side")*($F$2:$F316=1)),"")</f>
        <v/>
      </c>
      <c r="K316" t="str">
        <f>IF(AND($A316="Drink",$F316=1),SUMPRODUCT(($A$2:$A316="Drink")*($F$2:$F316=1)),"")</f>
        <v/>
      </c>
      <c r="L316" t="str">
        <f>IF($F316=1,SUMPRODUCT(($F$2:$F316=1)*1),"")</f>
        <v/>
      </c>
    </row>
    <row r="317" spans="7:12">
      <c r="G317" t="str">
        <f>IF(AND($A317="Starter",$F317=1),SUMPRODUCT(($A$2:$A317="Starter")*($F$2:$F317=1)),"")</f>
        <v/>
      </c>
      <c r="H317" t="str">
        <f>IF(AND($A317="Main",$F317=1),SUMPRODUCT(($A$2:$A317="Main")*($F$2:$F317=1)),"")</f>
        <v/>
      </c>
      <c r="I317" t="str">
        <f>IF(AND($A317="Dessert",$F317=1),SUMPRODUCT(($A$2:$A317="Dessert")*($F$2:$F317=1)),"")</f>
        <v/>
      </c>
      <c r="J317" t="str">
        <f>IF(AND($A317="Side",$F317=1),SUMPRODUCT(($A$2:$A317="Side")*($F$2:$F317=1)),"")</f>
        <v/>
      </c>
      <c r="K317" t="str">
        <f>IF(AND($A317="Drink",$F317=1),SUMPRODUCT(($A$2:$A317="Drink")*($F$2:$F317=1)),"")</f>
        <v/>
      </c>
      <c r="L317" t="str">
        <f>IF($F317=1,SUMPRODUCT(($F$2:$F317=1)*1),"")</f>
        <v/>
      </c>
    </row>
    <row r="318" spans="7:12">
      <c r="G318" t="str">
        <f>IF(AND($A318="Starter",$F318=1),SUMPRODUCT(($A$2:$A318="Starter")*($F$2:$F318=1)),"")</f>
        <v/>
      </c>
      <c r="H318" t="str">
        <f>IF(AND($A318="Main",$F318=1),SUMPRODUCT(($A$2:$A318="Main")*($F$2:$F318=1)),"")</f>
        <v/>
      </c>
      <c r="I318" t="str">
        <f>IF(AND($A318="Dessert",$F318=1),SUMPRODUCT(($A$2:$A318="Dessert")*($F$2:$F318=1)),"")</f>
        <v/>
      </c>
      <c r="J318" t="str">
        <f>IF(AND($A318="Side",$F318=1),SUMPRODUCT(($A$2:$A318="Side")*($F$2:$F318=1)),"")</f>
        <v/>
      </c>
      <c r="K318" t="str">
        <f>IF(AND($A318="Drink",$F318=1),SUMPRODUCT(($A$2:$A318="Drink")*($F$2:$F318=1)),"")</f>
        <v/>
      </c>
      <c r="L318" t="str">
        <f>IF($F318=1,SUMPRODUCT(($F$2:$F318=1)*1),"")</f>
        <v/>
      </c>
    </row>
    <row r="319" spans="7:12">
      <c r="G319" t="str">
        <f>IF(AND($A319="Starter",$F319=1),SUMPRODUCT(($A$2:$A319="Starter")*($F$2:$F319=1)),"")</f>
        <v/>
      </c>
      <c r="H319" t="str">
        <f>IF(AND($A319="Main",$F319=1),SUMPRODUCT(($A$2:$A319="Main")*($F$2:$F319=1)),"")</f>
        <v/>
      </c>
      <c r="I319" t="str">
        <f>IF(AND($A319="Dessert",$F319=1),SUMPRODUCT(($A$2:$A319="Dessert")*($F$2:$F319=1)),"")</f>
        <v/>
      </c>
      <c r="J319" t="str">
        <f>IF(AND($A319="Side",$F319=1),SUMPRODUCT(($A$2:$A319="Side")*($F$2:$F319=1)),"")</f>
        <v/>
      </c>
      <c r="K319" t="str">
        <f>IF(AND($A319="Drink",$F319=1),SUMPRODUCT(($A$2:$A319="Drink")*($F$2:$F319=1)),"")</f>
        <v/>
      </c>
      <c r="L319" t="str">
        <f>IF($F319=1,SUMPRODUCT(($F$2:$F319=1)*1),"")</f>
        <v/>
      </c>
    </row>
    <row r="320" spans="7:12">
      <c r="G320" t="str">
        <f>IF(AND($A320="Starter",$F320=1),SUMPRODUCT(($A$2:$A320="Starter")*($F$2:$F320=1)),"")</f>
        <v/>
      </c>
      <c r="H320" t="str">
        <f>IF(AND($A320="Main",$F320=1),SUMPRODUCT(($A$2:$A320="Main")*($F$2:$F320=1)),"")</f>
        <v/>
      </c>
      <c r="I320" t="str">
        <f>IF(AND($A320="Dessert",$F320=1),SUMPRODUCT(($A$2:$A320="Dessert")*($F$2:$F320=1)),"")</f>
        <v/>
      </c>
      <c r="J320" t="str">
        <f>IF(AND($A320="Side",$F320=1),SUMPRODUCT(($A$2:$A320="Side")*($F$2:$F320=1)),"")</f>
        <v/>
      </c>
      <c r="K320" t="str">
        <f>IF(AND($A320="Drink",$F320=1),SUMPRODUCT(($A$2:$A320="Drink")*($F$2:$F320=1)),"")</f>
        <v/>
      </c>
      <c r="L320" t="str">
        <f>IF($F320=1,SUMPRODUCT(($F$2:$F320=1)*1),"")</f>
        <v/>
      </c>
    </row>
    <row r="321" spans="7:12">
      <c r="G321" t="str">
        <f>IF(AND($A321="Starter",$F321=1),SUMPRODUCT(($A$2:$A321="Starter")*($F$2:$F321=1)),"")</f>
        <v/>
      </c>
      <c r="H321" t="str">
        <f>IF(AND($A321="Main",$F321=1),SUMPRODUCT(($A$2:$A321="Main")*($F$2:$F321=1)),"")</f>
        <v/>
      </c>
      <c r="I321" t="str">
        <f>IF(AND($A321="Dessert",$F321=1),SUMPRODUCT(($A$2:$A321="Dessert")*($F$2:$F321=1)),"")</f>
        <v/>
      </c>
      <c r="J321" t="str">
        <f>IF(AND($A321="Side",$F321=1),SUMPRODUCT(($A$2:$A321="Side")*($F$2:$F321=1)),"")</f>
        <v/>
      </c>
      <c r="K321" t="str">
        <f>IF(AND($A321="Drink",$F321=1),SUMPRODUCT(($A$2:$A321="Drink")*($F$2:$F321=1)),"")</f>
        <v/>
      </c>
      <c r="L321" t="str">
        <f>IF($F321=1,SUMPRODUCT(($F$2:$F321=1)*1),"")</f>
        <v/>
      </c>
    </row>
    <row r="322" spans="7:12">
      <c r="G322" t="str">
        <f>IF(AND($A322="Starter",$F322=1),SUMPRODUCT(($A$2:$A322="Starter")*($F$2:$F322=1)),"")</f>
        <v/>
      </c>
      <c r="H322" t="str">
        <f>IF(AND($A322="Main",$F322=1),SUMPRODUCT(($A$2:$A322="Main")*($F$2:$F322=1)),"")</f>
        <v/>
      </c>
      <c r="I322" t="str">
        <f>IF(AND($A322="Dessert",$F322=1),SUMPRODUCT(($A$2:$A322="Dessert")*($F$2:$F322=1)),"")</f>
        <v/>
      </c>
      <c r="J322" t="str">
        <f>IF(AND($A322="Side",$F322=1),SUMPRODUCT(($A$2:$A322="Side")*($F$2:$F322=1)),"")</f>
        <v/>
      </c>
      <c r="K322" t="str">
        <f>IF(AND($A322="Drink",$F322=1),SUMPRODUCT(($A$2:$A322="Drink")*($F$2:$F322=1)),"")</f>
        <v/>
      </c>
      <c r="L322" t="str">
        <f>IF($F322=1,SUMPRODUCT(($F$2:$F322=1)*1),"")</f>
        <v/>
      </c>
    </row>
    <row r="323" spans="7:12">
      <c r="G323" t="str">
        <f>IF(AND($A323="Starter",$F323=1),SUMPRODUCT(($A$2:$A323="Starter")*($F$2:$F323=1)),"")</f>
        <v/>
      </c>
      <c r="H323" t="str">
        <f>IF(AND($A323="Main",$F323=1),SUMPRODUCT(($A$2:$A323="Main")*($F$2:$F323=1)),"")</f>
        <v/>
      </c>
      <c r="I323" t="str">
        <f>IF(AND($A323="Dessert",$F323=1),SUMPRODUCT(($A$2:$A323="Dessert")*($F$2:$F323=1)),"")</f>
        <v/>
      </c>
      <c r="J323" t="str">
        <f>IF(AND($A323="Side",$F323=1),SUMPRODUCT(($A$2:$A323="Side")*($F$2:$F323=1)),"")</f>
        <v/>
      </c>
      <c r="K323" t="str">
        <f>IF(AND($A323="Drink",$F323=1),SUMPRODUCT(($A$2:$A323="Drink")*($F$2:$F323=1)),"")</f>
        <v/>
      </c>
      <c r="L323" t="str">
        <f>IF($F323=1,SUMPRODUCT(($F$2:$F323=1)*1),"")</f>
        <v/>
      </c>
    </row>
    <row r="324" spans="7:12">
      <c r="G324" t="str">
        <f>IF(AND($A324="Starter",$F324=1),SUMPRODUCT(($A$2:$A324="Starter")*($F$2:$F324=1)),"")</f>
        <v/>
      </c>
      <c r="H324" t="str">
        <f>IF(AND($A324="Main",$F324=1),SUMPRODUCT(($A$2:$A324="Main")*($F$2:$F324=1)),"")</f>
        <v/>
      </c>
      <c r="I324" t="str">
        <f>IF(AND($A324="Dessert",$F324=1),SUMPRODUCT(($A$2:$A324="Dessert")*($F$2:$F324=1)),"")</f>
        <v/>
      </c>
      <c r="J324" t="str">
        <f>IF(AND($A324="Side",$F324=1),SUMPRODUCT(($A$2:$A324="Side")*($F$2:$F324=1)),"")</f>
        <v/>
      </c>
      <c r="K324" t="str">
        <f>IF(AND($A324="Drink",$F324=1),SUMPRODUCT(($A$2:$A324="Drink")*($F$2:$F324=1)),"")</f>
        <v/>
      </c>
      <c r="L324" t="str">
        <f>IF($F324=1,SUMPRODUCT(($F$2:$F324=1)*1),"")</f>
        <v/>
      </c>
    </row>
    <row r="325" spans="7:12">
      <c r="G325" t="str">
        <f>IF(AND($A325="Starter",$F325=1),SUMPRODUCT(($A$2:$A325="Starter")*($F$2:$F325=1)),"")</f>
        <v/>
      </c>
      <c r="H325" t="str">
        <f>IF(AND($A325="Main",$F325=1),SUMPRODUCT(($A$2:$A325="Main")*($F$2:$F325=1)),"")</f>
        <v/>
      </c>
      <c r="I325" t="str">
        <f>IF(AND($A325="Dessert",$F325=1),SUMPRODUCT(($A$2:$A325="Dessert")*($F$2:$F325=1)),"")</f>
        <v/>
      </c>
      <c r="J325" t="str">
        <f>IF(AND($A325="Side",$F325=1),SUMPRODUCT(($A$2:$A325="Side")*($F$2:$F325=1)),"")</f>
        <v/>
      </c>
      <c r="K325" t="str">
        <f>IF(AND($A325="Drink",$F325=1),SUMPRODUCT(($A$2:$A325="Drink")*($F$2:$F325=1)),"")</f>
        <v/>
      </c>
      <c r="L325" t="str">
        <f>IF($F325=1,SUMPRODUCT(($F$2:$F325=1)*1),"")</f>
        <v/>
      </c>
    </row>
    <row r="326" spans="7:12">
      <c r="G326" t="str">
        <f>IF(AND($A326="Starter",$F326=1),SUMPRODUCT(($A$2:$A326="Starter")*($F$2:$F326=1)),"")</f>
        <v/>
      </c>
      <c r="H326" t="str">
        <f>IF(AND($A326="Main",$F326=1),SUMPRODUCT(($A$2:$A326="Main")*($F$2:$F326=1)),"")</f>
        <v/>
      </c>
      <c r="I326" t="str">
        <f>IF(AND($A326="Dessert",$F326=1),SUMPRODUCT(($A$2:$A326="Dessert")*($F$2:$F326=1)),"")</f>
        <v/>
      </c>
      <c r="J326" t="str">
        <f>IF(AND($A326="Side",$F326=1),SUMPRODUCT(($A$2:$A326="Side")*($F$2:$F326=1)),"")</f>
        <v/>
      </c>
      <c r="K326" t="str">
        <f>IF(AND($A326="Drink",$F326=1),SUMPRODUCT(($A$2:$A326="Drink")*($F$2:$F326=1)),"")</f>
        <v/>
      </c>
      <c r="L326" t="str">
        <f>IF($F326=1,SUMPRODUCT(($F$2:$F326=1)*1),"")</f>
        <v/>
      </c>
    </row>
    <row r="327" spans="7:12">
      <c r="G327" t="str">
        <f>IF(AND($A327="Starter",$F327=1),SUMPRODUCT(($A$2:$A327="Starter")*($F$2:$F327=1)),"")</f>
        <v/>
      </c>
      <c r="H327" t="str">
        <f>IF(AND($A327="Main",$F327=1),SUMPRODUCT(($A$2:$A327="Main")*($F$2:$F327=1)),"")</f>
        <v/>
      </c>
      <c r="I327" t="str">
        <f>IF(AND($A327="Dessert",$F327=1),SUMPRODUCT(($A$2:$A327="Dessert")*($F$2:$F327=1)),"")</f>
        <v/>
      </c>
      <c r="J327" t="str">
        <f>IF(AND($A327="Side",$F327=1),SUMPRODUCT(($A$2:$A327="Side")*($F$2:$F327=1)),"")</f>
        <v/>
      </c>
      <c r="K327" t="str">
        <f>IF(AND($A327="Drink",$F327=1),SUMPRODUCT(($A$2:$A327="Drink")*($F$2:$F327=1)),"")</f>
        <v/>
      </c>
      <c r="L327" t="str">
        <f>IF($F327=1,SUMPRODUCT(($F$2:$F327=1)*1),"")</f>
        <v/>
      </c>
    </row>
    <row r="328" spans="7:12">
      <c r="G328" t="str">
        <f>IF(AND($A328="Starter",$F328=1),SUMPRODUCT(($A$2:$A328="Starter")*($F$2:$F328=1)),"")</f>
        <v/>
      </c>
      <c r="H328" t="str">
        <f>IF(AND($A328="Main",$F328=1),SUMPRODUCT(($A$2:$A328="Main")*($F$2:$F328=1)),"")</f>
        <v/>
      </c>
      <c r="I328" t="str">
        <f>IF(AND($A328="Dessert",$F328=1),SUMPRODUCT(($A$2:$A328="Dessert")*($F$2:$F328=1)),"")</f>
        <v/>
      </c>
      <c r="J328" t="str">
        <f>IF(AND($A328="Side",$F328=1),SUMPRODUCT(($A$2:$A328="Side")*($F$2:$F328=1)),"")</f>
        <v/>
      </c>
      <c r="K328" t="str">
        <f>IF(AND($A328="Drink",$F328=1),SUMPRODUCT(($A$2:$A328="Drink")*($F$2:$F328=1)),"")</f>
        <v/>
      </c>
      <c r="L328" t="str">
        <f>IF($F328=1,SUMPRODUCT(($F$2:$F328=1)*1),"")</f>
        <v/>
      </c>
    </row>
    <row r="329" spans="7:12">
      <c r="G329" t="str">
        <f>IF(AND($A329="Starter",$F329=1),SUMPRODUCT(($A$2:$A329="Starter")*($F$2:$F329=1)),"")</f>
        <v/>
      </c>
      <c r="H329" t="str">
        <f>IF(AND($A329="Main",$F329=1),SUMPRODUCT(($A$2:$A329="Main")*($F$2:$F329=1)),"")</f>
        <v/>
      </c>
      <c r="I329" t="str">
        <f>IF(AND($A329="Dessert",$F329=1),SUMPRODUCT(($A$2:$A329="Dessert")*($F$2:$F329=1)),"")</f>
        <v/>
      </c>
      <c r="J329" t="str">
        <f>IF(AND($A329="Side",$F329=1),SUMPRODUCT(($A$2:$A329="Side")*($F$2:$F329=1)),"")</f>
        <v/>
      </c>
      <c r="K329" t="str">
        <f>IF(AND($A329="Drink",$F329=1),SUMPRODUCT(($A$2:$A329="Drink")*($F$2:$F329=1)),"")</f>
        <v/>
      </c>
      <c r="L329" t="str">
        <f>IF($F329=1,SUMPRODUCT(($F$2:$F329=1)*1),"")</f>
        <v/>
      </c>
    </row>
    <row r="330" spans="7:12">
      <c r="G330" t="str">
        <f>IF(AND($A330="Starter",$F330=1),SUMPRODUCT(($A$2:$A330="Starter")*($F$2:$F330=1)),"")</f>
        <v/>
      </c>
      <c r="H330" t="str">
        <f>IF(AND($A330="Main",$F330=1),SUMPRODUCT(($A$2:$A330="Main")*($F$2:$F330=1)),"")</f>
        <v/>
      </c>
      <c r="I330" t="str">
        <f>IF(AND($A330="Dessert",$F330=1),SUMPRODUCT(($A$2:$A330="Dessert")*($F$2:$F330=1)),"")</f>
        <v/>
      </c>
      <c r="J330" t="str">
        <f>IF(AND($A330="Side",$F330=1),SUMPRODUCT(($A$2:$A330="Side")*($F$2:$F330=1)),"")</f>
        <v/>
      </c>
      <c r="K330" t="str">
        <f>IF(AND($A330="Drink",$F330=1),SUMPRODUCT(($A$2:$A330="Drink")*($F$2:$F330=1)),"")</f>
        <v/>
      </c>
      <c r="L330" t="str">
        <f>IF($F330=1,SUMPRODUCT(($F$2:$F330=1)*1),"")</f>
        <v/>
      </c>
    </row>
    <row r="331" spans="7:12">
      <c r="G331" t="str">
        <f>IF(AND($A331="Starter",$F331=1),SUMPRODUCT(($A$2:$A331="Starter")*($F$2:$F331=1)),"")</f>
        <v/>
      </c>
      <c r="H331" t="str">
        <f>IF(AND($A331="Main",$F331=1),SUMPRODUCT(($A$2:$A331="Main")*($F$2:$F331=1)),"")</f>
        <v/>
      </c>
      <c r="I331" t="str">
        <f>IF(AND($A331="Dessert",$F331=1),SUMPRODUCT(($A$2:$A331="Dessert")*($F$2:$F331=1)),"")</f>
        <v/>
      </c>
      <c r="J331" t="str">
        <f>IF(AND($A331="Side",$F331=1),SUMPRODUCT(($A$2:$A331="Side")*($F$2:$F331=1)),"")</f>
        <v/>
      </c>
      <c r="K331" t="str">
        <f>IF(AND($A331="Drink",$F331=1),SUMPRODUCT(($A$2:$A331="Drink")*($F$2:$F331=1)),"")</f>
        <v/>
      </c>
      <c r="L331" t="str">
        <f>IF($F331=1,SUMPRODUCT(($F$2:$F331=1)*1),"")</f>
        <v/>
      </c>
    </row>
    <row r="332" spans="7:12">
      <c r="G332" t="str">
        <f>IF(AND($A332="Starter",$F332=1),SUMPRODUCT(($A$2:$A332="Starter")*($F$2:$F332=1)),"")</f>
        <v/>
      </c>
      <c r="H332" t="str">
        <f>IF(AND($A332="Main",$F332=1),SUMPRODUCT(($A$2:$A332="Main")*($F$2:$F332=1)),"")</f>
        <v/>
      </c>
      <c r="I332" t="str">
        <f>IF(AND($A332="Dessert",$F332=1),SUMPRODUCT(($A$2:$A332="Dessert")*($F$2:$F332=1)),"")</f>
        <v/>
      </c>
      <c r="J332" t="str">
        <f>IF(AND($A332="Side",$F332=1),SUMPRODUCT(($A$2:$A332="Side")*($F$2:$F332=1)),"")</f>
        <v/>
      </c>
      <c r="K332" t="str">
        <f>IF(AND($A332="Drink",$F332=1),SUMPRODUCT(($A$2:$A332="Drink")*($F$2:$F332=1)),"")</f>
        <v/>
      </c>
      <c r="L332" t="str">
        <f>IF($F332=1,SUMPRODUCT(($F$2:$F332=1)*1),"")</f>
        <v/>
      </c>
    </row>
    <row r="333" spans="7:12">
      <c r="G333" t="str">
        <f>IF(AND($A333="Starter",$F333=1),SUMPRODUCT(($A$2:$A333="Starter")*($F$2:$F333=1)),"")</f>
        <v/>
      </c>
      <c r="H333" t="str">
        <f>IF(AND($A333="Main",$F333=1),SUMPRODUCT(($A$2:$A333="Main")*($F$2:$F333=1)),"")</f>
        <v/>
      </c>
      <c r="I333" t="str">
        <f>IF(AND($A333="Dessert",$F333=1),SUMPRODUCT(($A$2:$A333="Dessert")*($F$2:$F333=1)),"")</f>
        <v/>
      </c>
      <c r="J333" t="str">
        <f>IF(AND($A333="Side",$F333=1),SUMPRODUCT(($A$2:$A333="Side")*($F$2:$F333=1)),"")</f>
        <v/>
      </c>
      <c r="K333" t="str">
        <f>IF(AND($A333="Drink",$F333=1),SUMPRODUCT(($A$2:$A333="Drink")*($F$2:$F333=1)),"")</f>
        <v/>
      </c>
      <c r="L333" t="str">
        <f>IF($F333=1,SUMPRODUCT(($F$2:$F333=1)*1),"")</f>
        <v/>
      </c>
    </row>
    <row r="334" spans="7:12">
      <c r="G334" t="str">
        <f>IF(AND($A334="Starter",$F334=1),SUMPRODUCT(($A$2:$A334="Starter")*($F$2:$F334=1)),"")</f>
        <v/>
      </c>
      <c r="H334" t="str">
        <f>IF(AND($A334="Main",$F334=1),SUMPRODUCT(($A$2:$A334="Main")*($F$2:$F334=1)),"")</f>
        <v/>
      </c>
      <c r="I334" t="str">
        <f>IF(AND($A334="Dessert",$F334=1),SUMPRODUCT(($A$2:$A334="Dessert")*($F$2:$F334=1)),"")</f>
        <v/>
      </c>
      <c r="J334" t="str">
        <f>IF(AND($A334="Side",$F334=1),SUMPRODUCT(($A$2:$A334="Side")*($F$2:$F334=1)),"")</f>
        <v/>
      </c>
      <c r="K334" t="str">
        <f>IF(AND($A334="Drink",$F334=1),SUMPRODUCT(($A$2:$A334="Drink")*($F$2:$F334=1)),"")</f>
        <v/>
      </c>
      <c r="L334" t="str">
        <f>IF($F334=1,SUMPRODUCT(($F$2:$F334=1)*1),"")</f>
        <v/>
      </c>
    </row>
    <row r="335" spans="7:12">
      <c r="G335" t="str">
        <f>IF(AND($A335="Starter",$F335=1),SUMPRODUCT(($A$2:$A335="Starter")*($F$2:$F335=1)),"")</f>
        <v/>
      </c>
      <c r="H335" t="str">
        <f>IF(AND($A335="Main",$F335=1),SUMPRODUCT(($A$2:$A335="Main")*($F$2:$F335=1)),"")</f>
        <v/>
      </c>
      <c r="I335" t="str">
        <f>IF(AND($A335="Dessert",$F335=1),SUMPRODUCT(($A$2:$A335="Dessert")*($F$2:$F335=1)),"")</f>
        <v/>
      </c>
      <c r="J335" t="str">
        <f>IF(AND($A335="Side",$F335=1),SUMPRODUCT(($A$2:$A335="Side")*($F$2:$F335=1)),"")</f>
        <v/>
      </c>
      <c r="K335" t="str">
        <f>IF(AND($A335="Drink",$F335=1),SUMPRODUCT(($A$2:$A335="Drink")*($F$2:$F335=1)),"")</f>
        <v/>
      </c>
      <c r="L335" t="str">
        <f>IF($F335=1,SUMPRODUCT(($F$2:$F335=1)*1),"")</f>
        <v/>
      </c>
    </row>
    <row r="336" spans="7:12">
      <c r="G336" t="str">
        <f>IF(AND($A336="Starter",$F336=1),SUMPRODUCT(($A$2:$A336="Starter")*($F$2:$F336=1)),"")</f>
        <v/>
      </c>
      <c r="H336" t="str">
        <f>IF(AND($A336="Main",$F336=1),SUMPRODUCT(($A$2:$A336="Main")*($F$2:$F336=1)),"")</f>
        <v/>
      </c>
      <c r="I336" t="str">
        <f>IF(AND($A336="Dessert",$F336=1),SUMPRODUCT(($A$2:$A336="Dessert")*($F$2:$F336=1)),"")</f>
        <v/>
      </c>
      <c r="J336" t="str">
        <f>IF(AND($A336="Side",$F336=1),SUMPRODUCT(($A$2:$A336="Side")*($F$2:$F336=1)),"")</f>
        <v/>
      </c>
      <c r="K336" t="str">
        <f>IF(AND($A336="Drink",$F336=1),SUMPRODUCT(($A$2:$A336="Drink")*($F$2:$F336=1)),"")</f>
        <v/>
      </c>
      <c r="L336" t="str">
        <f>IF($F336=1,SUMPRODUCT(($F$2:$F336=1)*1),"")</f>
        <v/>
      </c>
    </row>
    <row r="337" spans="7:12">
      <c r="G337" t="str">
        <f>IF(AND($A337="Starter",$F337=1),SUMPRODUCT(($A$2:$A337="Starter")*($F$2:$F337=1)),"")</f>
        <v/>
      </c>
      <c r="H337" t="str">
        <f>IF(AND($A337="Main",$F337=1),SUMPRODUCT(($A$2:$A337="Main")*($F$2:$F337=1)),"")</f>
        <v/>
      </c>
      <c r="I337" t="str">
        <f>IF(AND($A337="Dessert",$F337=1),SUMPRODUCT(($A$2:$A337="Dessert")*($F$2:$F337=1)),"")</f>
        <v/>
      </c>
      <c r="J337" t="str">
        <f>IF(AND($A337="Side",$F337=1),SUMPRODUCT(($A$2:$A337="Side")*($F$2:$F337=1)),"")</f>
        <v/>
      </c>
      <c r="K337" t="str">
        <f>IF(AND($A337="Drink",$F337=1),SUMPRODUCT(($A$2:$A337="Drink")*($F$2:$F337=1)),"")</f>
        <v/>
      </c>
      <c r="L337" t="str">
        <f>IF($F337=1,SUMPRODUCT(($F$2:$F337=1)*1),"")</f>
        <v/>
      </c>
    </row>
    <row r="338" spans="7:12">
      <c r="G338" t="str">
        <f>IF(AND($A338="Starter",$F338=1),SUMPRODUCT(($A$2:$A338="Starter")*($F$2:$F338=1)),"")</f>
        <v/>
      </c>
      <c r="H338" t="str">
        <f>IF(AND($A338="Main",$F338=1),SUMPRODUCT(($A$2:$A338="Main")*($F$2:$F338=1)),"")</f>
        <v/>
      </c>
      <c r="I338" t="str">
        <f>IF(AND($A338="Dessert",$F338=1),SUMPRODUCT(($A$2:$A338="Dessert")*($F$2:$F338=1)),"")</f>
        <v/>
      </c>
      <c r="J338" t="str">
        <f>IF(AND($A338="Side",$F338=1),SUMPRODUCT(($A$2:$A338="Side")*($F$2:$F338=1)),"")</f>
        <v/>
      </c>
      <c r="K338" t="str">
        <f>IF(AND($A338="Drink",$F338=1),SUMPRODUCT(($A$2:$A338="Drink")*($F$2:$F338=1)),"")</f>
        <v/>
      </c>
      <c r="L338" t="str">
        <f>IF($F338=1,SUMPRODUCT(($F$2:$F338=1)*1),"")</f>
        <v/>
      </c>
    </row>
    <row r="339" spans="7:12">
      <c r="G339" t="str">
        <f>IF(AND($A339="Starter",$F339=1),SUMPRODUCT(($A$2:$A339="Starter")*($F$2:$F339=1)),"")</f>
        <v/>
      </c>
      <c r="H339" t="str">
        <f>IF(AND($A339="Main",$F339=1),SUMPRODUCT(($A$2:$A339="Main")*($F$2:$F339=1)),"")</f>
        <v/>
      </c>
      <c r="I339" t="str">
        <f>IF(AND($A339="Dessert",$F339=1),SUMPRODUCT(($A$2:$A339="Dessert")*($F$2:$F339=1)),"")</f>
        <v/>
      </c>
      <c r="J339" t="str">
        <f>IF(AND($A339="Side",$F339=1),SUMPRODUCT(($A$2:$A339="Side")*($F$2:$F339=1)),"")</f>
        <v/>
      </c>
      <c r="K339" t="str">
        <f>IF(AND($A339="Drink",$F339=1),SUMPRODUCT(($A$2:$A339="Drink")*($F$2:$F339=1)),"")</f>
        <v/>
      </c>
      <c r="L339" t="str">
        <f>IF($F339=1,SUMPRODUCT(($F$2:$F339=1)*1),"")</f>
        <v/>
      </c>
    </row>
    <row r="340" spans="7:12">
      <c r="G340" t="str">
        <f>IF(AND($A340="Starter",$F340=1),SUMPRODUCT(($A$2:$A340="Starter")*($F$2:$F340=1)),"")</f>
        <v/>
      </c>
      <c r="H340" t="str">
        <f>IF(AND($A340="Main",$F340=1),SUMPRODUCT(($A$2:$A340="Main")*($F$2:$F340=1)),"")</f>
        <v/>
      </c>
      <c r="I340" t="str">
        <f>IF(AND($A340="Dessert",$F340=1),SUMPRODUCT(($A$2:$A340="Dessert")*($F$2:$F340=1)),"")</f>
        <v/>
      </c>
      <c r="J340" t="str">
        <f>IF(AND($A340="Side",$F340=1),SUMPRODUCT(($A$2:$A340="Side")*($F$2:$F340=1)),"")</f>
        <v/>
      </c>
      <c r="K340" t="str">
        <f>IF(AND($A340="Drink",$F340=1),SUMPRODUCT(($A$2:$A340="Drink")*($F$2:$F340=1)),"")</f>
        <v/>
      </c>
      <c r="L340" t="str">
        <f>IF($F340=1,SUMPRODUCT(($F$2:$F340=1)*1),"")</f>
        <v/>
      </c>
    </row>
    <row r="341" spans="7:12">
      <c r="G341" t="str">
        <f>IF(AND($A341="Starter",$F341=1),SUMPRODUCT(($A$2:$A341="Starter")*($F$2:$F341=1)),"")</f>
        <v/>
      </c>
      <c r="H341" t="str">
        <f>IF(AND($A341="Main",$F341=1),SUMPRODUCT(($A$2:$A341="Main")*($F$2:$F341=1)),"")</f>
        <v/>
      </c>
      <c r="I341" t="str">
        <f>IF(AND($A341="Dessert",$F341=1),SUMPRODUCT(($A$2:$A341="Dessert")*($F$2:$F341=1)),"")</f>
        <v/>
      </c>
      <c r="J341" t="str">
        <f>IF(AND($A341="Side",$F341=1),SUMPRODUCT(($A$2:$A341="Side")*($F$2:$F341=1)),"")</f>
        <v/>
      </c>
      <c r="K341" t="str">
        <f>IF(AND($A341="Drink",$F341=1),SUMPRODUCT(($A$2:$A341="Drink")*($F$2:$F341=1)),"")</f>
        <v/>
      </c>
      <c r="L341" t="str">
        <f>IF($F341=1,SUMPRODUCT(($F$2:$F341=1)*1),"")</f>
        <v/>
      </c>
    </row>
    <row r="342" spans="7:12">
      <c r="G342" t="str">
        <f>IF(AND($A342="Starter",$F342=1),SUMPRODUCT(($A$2:$A342="Starter")*($F$2:$F342=1)),"")</f>
        <v/>
      </c>
      <c r="H342" t="str">
        <f>IF(AND($A342="Main",$F342=1),SUMPRODUCT(($A$2:$A342="Main")*($F$2:$F342=1)),"")</f>
        <v/>
      </c>
      <c r="I342" t="str">
        <f>IF(AND($A342="Dessert",$F342=1),SUMPRODUCT(($A$2:$A342="Dessert")*($F$2:$F342=1)),"")</f>
        <v/>
      </c>
      <c r="J342" t="str">
        <f>IF(AND($A342="Side",$F342=1),SUMPRODUCT(($A$2:$A342="Side")*($F$2:$F342=1)),"")</f>
        <v/>
      </c>
      <c r="K342" t="str">
        <f>IF(AND($A342="Drink",$F342=1),SUMPRODUCT(($A$2:$A342="Drink")*($F$2:$F342=1)),"")</f>
        <v/>
      </c>
      <c r="L342" t="str">
        <f>IF($F342=1,SUMPRODUCT(($F$2:$F342=1)*1),"")</f>
        <v/>
      </c>
    </row>
    <row r="343" spans="7:12">
      <c r="G343" t="str">
        <f>IF(AND($A343="Starter",$F343=1),SUMPRODUCT(($A$2:$A343="Starter")*($F$2:$F343=1)),"")</f>
        <v/>
      </c>
      <c r="H343" t="str">
        <f>IF(AND($A343="Main",$F343=1),SUMPRODUCT(($A$2:$A343="Main")*($F$2:$F343=1)),"")</f>
        <v/>
      </c>
      <c r="I343" t="str">
        <f>IF(AND($A343="Dessert",$F343=1),SUMPRODUCT(($A$2:$A343="Dessert")*($F$2:$F343=1)),"")</f>
        <v/>
      </c>
      <c r="J343" t="str">
        <f>IF(AND($A343="Side",$F343=1),SUMPRODUCT(($A$2:$A343="Side")*($F$2:$F343=1)),"")</f>
        <v/>
      </c>
      <c r="K343" t="str">
        <f>IF(AND($A343="Drink",$F343=1),SUMPRODUCT(($A$2:$A343="Drink")*($F$2:$F343=1)),"")</f>
        <v/>
      </c>
      <c r="L343" t="str">
        <f>IF($F343=1,SUMPRODUCT(($F$2:$F343=1)*1),"")</f>
        <v/>
      </c>
    </row>
    <row r="344" spans="7:12">
      <c r="G344" t="str">
        <f>IF(AND($A344="Starter",$F344=1),SUMPRODUCT(($A$2:$A344="Starter")*($F$2:$F344=1)),"")</f>
        <v/>
      </c>
      <c r="H344" t="str">
        <f>IF(AND($A344="Main",$F344=1),SUMPRODUCT(($A$2:$A344="Main")*($F$2:$F344=1)),"")</f>
        <v/>
      </c>
      <c r="I344" t="str">
        <f>IF(AND($A344="Dessert",$F344=1),SUMPRODUCT(($A$2:$A344="Dessert")*($F$2:$F344=1)),"")</f>
        <v/>
      </c>
      <c r="J344" t="str">
        <f>IF(AND($A344="Side",$F344=1),SUMPRODUCT(($A$2:$A344="Side")*($F$2:$F344=1)),"")</f>
        <v/>
      </c>
      <c r="K344" t="str">
        <f>IF(AND($A344="Drink",$F344=1),SUMPRODUCT(($A$2:$A344="Drink")*($F$2:$F344=1)),"")</f>
        <v/>
      </c>
      <c r="L344" t="str">
        <f>IF($F344=1,SUMPRODUCT(($F$2:$F344=1)*1),"")</f>
        <v/>
      </c>
    </row>
    <row r="345" spans="7:12">
      <c r="G345" t="str">
        <f>IF(AND($A345="Starter",$F345=1),SUMPRODUCT(($A$2:$A345="Starter")*($F$2:$F345=1)),"")</f>
        <v/>
      </c>
      <c r="H345" t="str">
        <f>IF(AND($A345="Main",$F345=1),SUMPRODUCT(($A$2:$A345="Main")*($F$2:$F345=1)),"")</f>
        <v/>
      </c>
      <c r="I345" t="str">
        <f>IF(AND($A345="Dessert",$F345=1),SUMPRODUCT(($A$2:$A345="Dessert")*($F$2:$F345=1)),"")</f>
        <v/>
      </c>
      <c r="J345" t="str">
        <f>IF(AND($A345="Side",$F345=1),SUMPRODUCT(($A$2:$A345="Side")*($F$2:$F345=1)),"")</f>
        <v/>
      </c>
      <c r="K345" t="str">
        <f>IF(AND($A345="Drink",$F345=1),SUMPRODUCT(($A$2:$A345="Drink")*($F$2:$F345=1)),"")</f>
        <v/>
      </c>
      <c r="L345" t="str">
        <f>IF($F345=1,SUMPRODUCT(($F$2:$F345=1)*1),"")</f>
        <v/>
      </c>
    </row>
    <row r="346" spans="7:12">
      <c r="G346" t="str">
        <f>IF(AND($A346="Starter",$F346=1),SUMPRODUCT(($A$2:$A346="Starter")*($F$2:$F346=1)),"")</f>
        <v/>
      </c>
      <c r="H346" t="str">
        <f>IF(AND($A346="Main",$F346=1),SUMPRODUCT(($A$2:$A346="Main")*($F$2:$F346=1)),"")</f>
        <v/>
      </c>
      <c r="I346" t="str">
        <f>IF(AND($A346="Dessert",$F346=1),SUMPRODUCT(($A$2:$A346="Dessert")*($F$2:$F346=1)),"")</f>
        <v/>
      </c>
      <c r="J346" t="str">
        <f>IF(AND($A346="Side",$F346=1),SUMPRODUCT(($A$2:$A346="Side")*($F$2:$F346=1)),"")</f>
        <v/>
      </c>
      <c r="K346" t="str">
        <f>IF(AND($A346="Drink",$F346=1),SUMPRODUCT(($A$2:$A346="Drink")*($F$2:$F346=1)),"")</f>
        <v/>
      </c>
      <c r="L346" t="str">
        <f>IF($F346=1,SUMPRODUCT(($F$2:$F346=1)*1),"")</f>
        <v/>
      </c>
    </row>
    <row r="347" spans="7:12">
      <c r="G347" t="str">
        <f>IF(AND($A347="Starter",$F347=1),SUMPRODUCT(($A$2:$A347="Starter")*($F$2:$F347=1)),"")</f>
        <v/>
      </c>
      <c r="H347" t="str">
        <f>IF(AND($A347="Main",$F347=1),SUMPRODUCT(($A$2:$A347="Main")*($F$2:$F347=1)),"")</f>
        <v/>
      </c>
      <c r="I347" t="str">
        <f>IF(AND($A347="Dessert",$F347=1),SUMPRODUCT(($A$2:$A347="Dessert")*($F$2:$F347=1)),"")</f>
        <v/>
      </c>
      <c r="J347" t="str">
        <f>IF(AND($A347="Side",$F347=1),SUMPRODUCT(($A$2:$A347="Side")*($F$2:$F347=1)),"")</f>
        <v/>
      </c>
      <c r="K347" t="str">
        <f>IF(AND($A347="Drink",$F347=1),SUMPRODUCT(($A$2:$A347="Drink")*($F$2:$F347=1)),"")</f>
        <v/>
      </c>
      <c r="L347" t="str">
        <f>IF($F347=1,SUMPRODUCT(($F$2:$F347=1)*1),"")</f>
        <v/>
      </c>
    </row>
    <row r="348" spans="7:12">
      <c r="G348" t="str">
        <f>IF(AND($A348="Starter",$F348=1),SUMPRODUCT(($A$2:$A348="Starter")*($F$2:$F348=1)),"")</f>
        <v/>
      </c>
      <c r="H348" t="str">
        <f>IF(AND($A348="Main",$F348=1),SUMPRODUCT(($A$2:$A348="Main")*($F$2:$F348=1)),"")</f>
        <v/>
      </c>
      <c r="I348" t="str">
        <f>IF(AND($A348="Dessert",$F348=1),SUMPRODUCT(($A$2:$A348="Dessert")*($F$2:$F348=1)),"")</f>
        <v/>
      </c>
      <c r="J348" t="str">
        <f>IF(AND($A348="Side",$F348=1),SUMPRODUCT(($A$2:$A348="Side")*($F$2:$F348=1)),"")</f>
        <v/>
      </c>
      <c r="K348" t="str">
        <f>IF(AND($A348="Drink",$F348=1),SUMPRODUCT(($A$2:$A348="Drink")*($F$2:$F348=1)),"")</f>
        <v/>
      </c>
      <c r="L348" t="str">
        <f>IF($F348=1,SUMPRODUCT(($F$2:$F348=1)*1),"")</f>
        <v/>
      </c>
    </row>
    <row r="349" spans="7:12">
      <c r="G349" t="str">
        <f>IF(AND($A349="Starter",$F349=1),SUMPRODUCT(($A$2:$A349="Starter")*($F$2:$F349=1)),"")</f>
        <v/>
      </c>
      <c r="H349" t="str">
        <f>IF(AND($A349="Main",$F349=1),SUMPRODUCT(($A$2:$A349="Main")*($F$2:$F349=1)),"")</f>
        <v/>
      </c>
      <c r="I349" t="str">
        <f>IF(AND($A349="Dessert",$F349=1),SUMPRODUCT(($A$2:$A349="Dessert")*($F$2:$F349=1)),"")</f>
        <v/>
      </c>
      <c r="J349" t="str">
        <f>IF(AND($A349="Side",$F349=1),SUMPRODUCT(($A$2:$A349="Side")*($F$2:$F349=1)),"")</f>
        <v/>
      </c>
      <c r="K349" t="str">
        <f>IF(AND($A349="Drink",$F349=1),SUMPRODUCT(($A$2:$A349="Drink")*($F$2:$F349=1)),"")</f>
        <v/>
      </c>
      <c r="L349" t="str">
        <f>IF($F349=1,SUMPRODUCT(($F$2:$F349=1)*1),"")</f>
        <v/>
      </c>
    </row>
    <row r="350" spans="7:12">
      <c r="G350" t="str">
        <f>IF(AND($A350="Starter",$F350=1),SUMPRODUCT(($A$2:$A350="Starter")*($F$2:$F350=1)),"")</f>
        <v/>
      </c>
      <c r="H350" t="str">
        <f>IF(AND($A350="Main",$F350=1),SUMPRODUCT(($A$2:$A350="Main")*($F$2:$F350=1)),"")</f>
        <v/>
      </c>
      <c r="I350" t="str">
        <f>IF(AND($A350="Dessert",$F350=1),SUMPRODUCT(($A$2:$A350="Dessert")*($F$2:$F350=1)),"")</f>
        <v/>
      </c>
      <c r="J350" t="str">
        <f>IF(AND($A350="Side",$F350=1),SUMPRODUCT(($A$2:$A350="Side")*($F$2:$F350=1)),"")</f>
        <v/>
      </c>
      <c r="K350" t="str">
        <f>IF(AND($A350="Drink",$F350=1),SUMPRODUCT(($A$2:$A350="Drink")*($F$2:$F350=1)),"")</f>
        <v/>
      </c>
      <c r="L350" t="str">
        <f>IF($F350=1,SUMPRODUCT(($F$2:$F350=1)*1),"")</f>
        <v/>
      </c>
    </row>
    <row r="351" spans="7:12">
      <c r="G351" t="str">
        <f>IF(AND($A351="Starter",$F351=1),SUMPRODUCT(($A$2:$A351="Starter")*($F$2:$F351=1)),"")</f>
        <v/>
      </c>
      <c r="H351" t="str">
        <f>IF(AND($A351="Main",$F351=1),SUMPRODUCT(($A$2:$A351="Main")*($F$2:$F351=1)),"")</f>
        <v/>
      </c>
      <c r="I351" t="str">
        <f>IF(AND($A351="Dessert",$F351=1),SUMPRODUCT(($A$2:$A351="Dessert")*($F$2:$F351=1)),"")</f>
        <v/>
      </c>
      <c r="J351" t="str">
        <f>IF(AND($A351="Side",$F351=1),SUMPRODUCT(($A$2:$A351="Side")*($F$2:$F351=1)),"")</f>
        <v/>
      </c>
      <c r="K351" t="str">
        <f>IF(AND($A351="Drink",$F351=1),SUMPRODUCT(($A$2:$A351="Drink")*($F$2:$F351=1)),"")</f>
        <v/>
      </c>
      <c r="L351" t="str">
        <f>IF($F351=1,SUMPRODUCT(($F$2:$F351=1)*1),"")</f>
        <v/>
      </c>
    </row>
    <row r="352" spans="7:12">
      <c r="G352" t="str">
        <f>IF(AND($A352="Starter",$F352=1),SUMPRODUCT(($A$2:$A352="Starter")*($F$2:$F352=1)),"")</f>
        <v/>
      </c>
      <c r="H352" t="str">
        <f>IF(AND($A352="Main",$F352=1),SUMPRODUCT(($A$2:$A352="Main")*($F$2:$F352=1)),"")</f>
        <v/>
      </c>
      <c r="I352" t="str">
        <f>IF(AND($A352="Dessert",$F352=1),SUMPRODUCT(($A$2:$A352="Dessert")*($F$2:$F352=1)),"")</f>
        <v/>
      </c>
      <c r="J352" t="str">
        <f>IF(AND($A352="Side",$F352=1),SUMPRODUCT(($A$2:$A352="Side")*($F$2:$F352=1)),"")</f>
        <v/>
      </c>
      <c r="K352" t="str">
        <f>IF(AND($A352="Drink",$F352=1),SUMPRODUCT(($A$2:$A352="Drink")*($F$2:$F352=1)),"")</f>
        <v/>
      </c>
      <c r="L352" t="str">
        <f>IF($F352=1,SUMPRODUCT(($F$2:$F352=1)*1),"")</f>
        <v/>
      </c>
    </row>
    <row r="353" spans="7:12">
      <c r="G353" t="str">
        <f>IF(AND($A353="Starter",$F353=1),SUMPRODUCT(($A$2:$A353="Starter")*($F$2:$F353=1)),"")</f>
        <v/>
      </c>
      <c r="H353" t="str">
        <f>IF(AND($A353="Main",$F353=1),SUMPRODUCT(($A$2:$A353="Main")*($F$2:$F353=1)),"")</f>
        <v/>
      </c>
      <c r="I353" t="str">
        <f>IF(AND($A353="Dessert",$F353=1),SUMPRODUCT(($A$2:$A353="Dessert")*($F$2:$F353=1)),"")</f>
        <v/>
      </c>
      <c r="J353" t="str">
        <f>IF(AND($A353="Side",$F353=1),SUMPRODUCT(($A$2:$A353="Side")*($F$2:$F353=1)),"")</f>
        <v/>
      </c>
      <c r="K353" t="str">
        <f>IF(AND($A353="Drink",$F353=1),SUMPRODUCT(($A$2:$A353="Drink")*($F$2:$F353=1)),"")</f>
        <v/>
      </c>
      <c r="L353" t="str">
        <f>IF($F353=1,SUMPRODUCT(($F$2:$F353=1)*1),"")</f>
        <v/>
      </c>
    </row>
    <row r="354" spans="7:12">
      <c r="G354" t="str">
        <f>IF(AND($A354="Starter",$F354=1),SUMPRODUCT(($A$2:$A354="Starter")*($F$2:$F354=1)),"")</f>
        <v/>
      </c>
      <c r="H354" t="str">
        <f>IF(AND($A354="Main",$F354=1),SUMPRODUCT(($A$2:$A354="Main")*($F$2:$F354=1)),"")</f>
        <v/>
      </c>
      <c r="I354" t="str">
        <f>IF(AND($A354="Dessert",$F354=1),SUMPRODUCT(($A$2:$A354="Dessert")*($F$2:$F354=1)),"")</f>
        <v/>
      </c>
      <c r="J354" t="str">
        <f>IF(AND($A354="Side",$F354=1),SUMPRODUCT(($A$2:$A354="Side")*($F$2:$F354=1)),"")</f>
        <v/>
      </c>
      <c r="K354" t="str">
        <f>IF(AND($A354="Drink",$F354=1),SUMPRODUCT(($A$2:$A354="Drink")*($F$2:$F354=1)),"")</f>
        <v/>
      </c>
      <c r="L354" t="str">
        <f>IF($F354=1,SUMPRODUCT(($F$2:$F354=1)*1),"")</f>
        <v/>
      </c>
    </row>
    <row r="355" spans="7:12">
      <c r="G355" t="str">
        <f>IF(AND($A355="Starter",$F355=1),SUMPRODUCT(($A$2:$A355="Starter")*($F$2:$F355=1)),"")</f>
        <v/>
      </c>
      <c r="H355" t="str">
        <f>IF(AND($A355="Main",$F355=1),SUMPRODUCT(($A$2:$A355="Main")*($F$2:$F355=1)),"")</f>
        <v/>
      </c>
      <c r="I355" t="str">
        <f>IF(AND($A355="Dessert",$F355=1),SUMPRODUCT(($A$2:$A355="Dessert")*($F$2:$F355=1)),"")</f>
        <v/>
      </c>
      <c r="J355" t="str">
        <f>IF(AND($A355="Side",$F355=1),SUMPRODUCT(($A$2:$A355="Side")*($F$2:$F355=1)),"")</f>
        <v/>
      </c>
      <c r="K355" t="str">
        <f>IF(AND($A355="Drink",$F355=1),SUMPRODUCT(($A$2:$A355="Drink")*($F$2:$F355=1)),"")</f>
        <v/>
      </c>
      <c r="L355" t="str">
        <f>IF($F355=1,SUMPRODUCT(($F$2:$F355=1)*1),"")</f>
        <v/>
      </c>
    </row>
    <row r="356" spans="7:12">
      <c r="G356" t="str">
        <f>IF(AND($A356="Starter",$F356=1),SUMPRODUCT(($A$2:$A356="Starter")*($F$2:$F356=1)),"")</f>
        <v/>
      </c>
      <c r="H356" t="str">
        <f>IF(AND($A356="Main",$F356=1),SUMPRODUCT(($A$2:$A356="Main")*($F$2:$F356=1)),"")</f>
        <v/>
      </c>
      <c r="I356" t="str">
        <f>IF(AND($A356="Dessert",$F356=1),SUMPRODUCT(($A$2:$A356="Dessert")*($F$2:$F356=1)),"")</f>
        <v/>
      </c>
      <c r="J356" t="str">
        <f>IF(AND($A356="Side",$F356=1),SUMPRODUCT(($A$2:$A356="Side")*($F$2:$F356=1)),"")</f>
        <v/>
      </c>
      <c r="K356" t="str">
        <f>IF(AND($A356="Drink",$F356=1),SUMPRODUCT(($A$2:$A356="Drink")*($F$2:$F356=1)),"")</f>
        <v/>
      </c>
      <c r="L356" t="str">
        <f>IF($F356=1,SUMPRODUCT(($F$2:$F356=1)*1),"")</f>
        <v/>
      </c>
    </row>
    <row r="357" spans="7:12">
      <c r="G357" t="str">
        <f>IF(AND($A357="Starter",$F357=1),SUMPRODUCT(($A$2:$A357="Starter")*($F$2:$F357=1)),"")</f>
        <v/>
      </c>
      <c r="H357" t="str">
        <f>IF(AND($A357="Main",$F357=1),SUMPRODUCT(($A$2:$A357="Main")*($F$2:$F357=1)),"")</f>
        <v/>
      </c>
      <c r="I357" t="str">
        <f>IF(AND($A357="Dessert",$F357=1),SUMPRODUCT(($A$2:$A357="Dessert")*($F$2:$F357=1)),"")</f>
        <v/>
      </c>
      <c r="J357" t="str">
        <f>IF(AND($A357="Side",$F357=1),SUMPRODUCT(($A$2:$A357="Side")*($F$2:$F357=1)),"")</f>
        <v/>
      </c>
      <c r="K357" t="str">
        <f>IF(AND($A357="Drink",$F357=1),SUMPRODUCT(($A$2:$A357="Drink")*($F$2:$F357=1)),"")</f>
        <v/>
      </c>
      <c r="L357" t="str">
        <f>IF($F357=1,SUMPRODUCT(($F$2:$F357=1)*1),"")</f>
        <v/>
      </c>
    </row>
    <row r="358" spans="7:12">
      <c r="G358" t="str">
        <f>IF(AND($A358="Starter",$F358=1),SUMPRODUCT(($A$2:$A358="Starter")*($F$2:$F358=1)),"")</f>
        <v/>
      </c>
      <c r="H358" t="str">
        <f>IF(AND($A358="Main",$F358=1),SUMPRODUCT(($A$2:$A358="Main")*($F$2:$F358=1)),"")</f>
        <v/>
      </c>
      <c r="I358" t="str">
        <f>IF(AND($A358="Dessert",$F358=1),SUMPRODUCT(($A$2:$A358="Dessert")*($F$2:$F358=1)),"")</f>
        <v/>
      </c>
      <c r="J358" t="str">
        <f>IF(AND($A358="Side",$F358=1),SUMPRODUCT(($A$2:$A358="Side")*($F$2:$F358=1)),"")</f>
        <v/>
      </c>
      <c r="K358" t="str">
        <f>IF(AND($A358="Drink",$F358=1),SUMPRODUCT(($A$2:$A358="Drink")*($F$2:$F358=1)),"")</f>
        <v/>
      </c>
      <c r="L358" t="str">
        <f>IF($F358=1,SUMPRODUCT(($F$2:$F358=1)*1),"")</f>
        <v/>
      </c>
    </row>
    <row r="359" spans="7:12">
      <c r="G359" t="str">
        <f>IF(AND($A359="Starter",$F359=1),SUMPRODUCT(($A$2:$A359="Starter")*($F$2:$F359=1)),"")</f>
        <v/>
      </c>
      <c r="H359" t="str">
        <f>IF(AND($A359="Main",$F359=1),SUMPRODUCT(($A$2:$A359="Main")*($F$2:$F359=1)),"")</f>
        <v/>
      </c>
      <c r="I359" t="str">
        <f>IF(AND($A359="Dessert",$F359=1),SUMPRODUCT(($A$2:$A359="Dessert")*($F$2:$F359=1)),"")</f>
        <v/>
      </c>
      <c r="J359" t="str">
        <f>IF(AND($A359="Side",$F359=1),SUMPRODUCT(($A$2:$A359="Side")*($F$2:$F359=1)),"")</f>
        <v/>
      </c>
      <c r="K359" t="str">
        <f>IF(AND($A359="Drink",$F359=1),SUMPRODUCT(($A$2:$A359="Drink")*($F$2:$F359=1)),"")</f>
        <v/>
      </c>
      <c r="L359" t="str">
        <f>IF($F359=1,SUMPRODUCT(($F$2:$F359=1)*1),"")</f>
        <v/>
      </c>
    </row>
    <row r="360" spans="7:12">
      <c r="G360" t="str">
        <f>IF(AND($A360="Starter",$F360=1),SUMPRODUCT(($A$2:$A360="Starter")*($F$2:$F360=1)),"")</f>
        <v/>
      </c>
      <c r="H360" t="str">
        <f>IF(AND($A360="Main",$F360=1),SUMPRODUCT(($A$2:$A360="Main")*($F$2:$F360=1)),"")</f>
        <v/>
      </c>
      <c r="I360" t="str">
        <f>IF(AND($A360="Dessert",$F360=1),SUMPRODUCT(($A$2:$A360="Dessert")*($F$2:$F360=1)),"")</f>
        <v/>
      </c>
      <c r="J360" t="str">
        <f>IF(AND($A360="Side",$F360=1),SUMPRODUCT(($A$2:$A360="Side")*($F$2:$F360=1)),"")</f>
        <v/>
      </c>
      <c r="K360" t="str">
        <f>IF(AND($A360="Drink",$F360=1),SUMPRODUCT(($A$2:$A360="Drink")*($F$2:$F360=1)),"")</f>
        <v/>
      </c>
      <c r="L360" t="str">
        <f>IF($F360=1,SUMPRODUCT(($F$2:$F360=1)*1),"")</f>
        <v/>
      </c>
    </row>
    <row r="361" spans="7:12">
      <c r="G361" t="str">
        <f>IF(AND($A361="Starter",$F361=1),SUMPRODUCT(($A$2:$A361="Starter")*($F$2:$F361=1)),"")</f>
        <v/>
      </c>
      <c r="H361" t="str">
        <f>IF(AND($A361="Main",$F361=1),SUMPRODUCT(($A$2:$A361="Main")*($F$2:$F361=1)),"")</f>
        <v/>
      </c>
      <c r="I361" t="str">
        <f>IF(AND($A361="Dessert",$F361=1),SUMPRODUCT(($A$2:$A361="Dessert")*($F$2:$F361=1)),"")</f>
        <v/>
      </c>
      <c r="J361" t="str">
        <f>IF(AND($A361="Side",$F361=1),SUMPRODUCT(($A$2:$A361="Side")*($F$2:$F361=1)),"")</f>
        <v/>
      </c>
      <c r="K361" t="str">
        <f>IF(AND($A361="Drink",$F361=1),SUMPRODUCT(($A$2:$A361="Drink")*($F$2:$F361=1)),"")</f>
        <v/>
      </c>
      <c r="L361" t="str">
        <f>IF($F361=1,SUMPRODUCT(($F$2:$F361=1)*1),"")</f>
        <v/>
      </c>
    </row>
    <row r="362" spans="7:12">
      <c r="G362" t="str">
        <f>IF(AND($A362="Starter",$F362=1),SUMPRODUCT(($A$2:$A362="Starter")*($F$2:$F362=1)),"")</f>
        <v/>
      </c>
      <c r="H362" t="str">
        <f>IF(AND($A362="Main",$F362=1),SUMPRODUCT(($A$2:$A362="Main")*($F$2:$F362=1)),"")</f>
        <v/>
      </c>
      <c r="I362" t="str">
        <f>IF(AND($A362="Dessert",$F362=1),SUMPRODUCT(($A$2:$A362="Dessert")*($F$2:$F362=1)),"")</f>
        <v/>
      </c>
      <c r="J362" t="str">
        <f>IF(AND($A362="Side",$F362=1),SUMPRODUCT(($A$2:$A362="Side")*($F$2:$F362=1)),"")</f>
        <v/>
      </c>
      <c r="K362" t="str">
        <f>IF(AND($A362="Drink",$F362=1),SUMPRODUCT(($A$2:$A362="Drink")*($F$2:$F362=1)),"")</f>
        <v/>
      </c>
      <c r="L362" t="str">
        <f>IF($F362=1,SUMPRODUCT(($F$2:$F362=1)*1),"")</f>
        <v/>
      </c>
    </row>
    <row r="363" spans="7:12">
      <c r="G363" t="str">
        <f>IF(AND($A363="Starter",$F363=1),SUMPRODUCT(($A$2:$A363="Starter")*($F$2:$F363=1)),"")</f>
        <v/>
      </c>
      <c r="H363" t="str">
        <f>IF(AND($A363="Main",$F363=1),SUMPRODUCT(($A$2:$A363="Main")*($F$2:$F363=1)),"")</f>
        <v/>
      </c>
      <c r="I363" t="str">
        <f>IF(AND($A363="Dessert",$F363=1),SUMPRODUCT(($A$2:$A363="Dessert")*($F$2:$F363=1)),"")</f>
        <v/>
      </c>
      <c r="J363" t="str">
        <f>IF(AND($A363="Side",$F363=1),SUMPRODUCT(($A$2:$A363="Side")*($F$2:$F363=1)),"")</f>
        <v/>
      </c>
      <c r="K363" t="str">
        <f>IF(AND($A363="Drink",$F363=1),SUMPRODUCT(($A$2:$A363="Drink")*($F$2:$F363=1)),"")</f>
        <v/>
      </c>
      <c r="L363" t="str">
        <f>IF($F363=1,SUMPRODUCT(($F$2:$F363=1)*1),"")</f>
        <v/>
      </c>
    </row>
    <row r="364" spans="7:12">
      <c r="G364" t="str">
        <f>IF(AND($A364="Starter",$F364=1),SUMPRODUCT(($A$2:$A364="Starter")*($F$2:$F364=1)),"")</f>
        <v/>
      </c>
      <c r="H364" t="str">
        <f>IF(AND($A364="Main",$F364=1),SUMPRODUCT(($A$2:$A364="Main")*($F$2:$F364=1)),"")</f>
        <v/>
      </c>
      <c r="I364" t="str">
        <f>IF(AND($A364="Dessert",$F364=1),SUMPRODUCT(($A$2:$A364="Dessert")*($F$2:$F364=1)),"")</f>
        <v/>
      </c>
      <c r="J364" t="str">
        <f>IF(AND($A364="Side",$F364=1),SUMPRODUCT(($A$2:$A364="Side")*($F$2:$F364=1)),"")</f>
        <v/>
      </c>
      <c r="K364" t="str">
        <f>IF(AND($A364="Drink",$F364=1),SUMPRODUCT(($A$2:$A364="Drink")*($F$2:$F364=1)),"")</f>
        <v/>
      </c>
      <c r="L364" t="str">
        <f>IF($F364=1,SUMPRODUCT(($F$2:$F364=1)*1),"")</f>
        <v/>
      </c>
    </row>
    <row r="365" spans="7:12">
      <c r="G365" t="str">
        <f>IF(AND($A365="Starter",$F365=1),SUMPRODUCT(($A$2:$A365="Starter")*($F$2:$F365=1)),"")</f>
        <v/>
      </c>
      <c r="H365" t="str">
        <f>IF(AND($A365="Main",$F365=1),SUMPRODUCT(($A$2:$A365="Main")*($F$2:$F365=1)),"")</f>
        <v/>
      </c>
      <c r="I365" t="str">
        <f>IF(AND($A365="Dessert",$F365=1),SUMPRODUCT(($A$2:$A365="Dessert")*($F$2:$F365=1)),"")</f>
        <v/>
      </c>
      <c r="J365" t="str">
        <f>IF(AND($A365="Side",$F365=1),SUMPRODUCT(($A$2:$A365="Side")*($F$2:$F365=1)),"")</f>
        <v/>
      </c>
      <c r="K365" t="str">
        <f>IF(AND($A365="Drink",$F365=1),SUMPRODUCT(($A$2:$A365="Drink")*($F$2:$F365=1)),"")</f>
        <v/>
      </c>
      <c r="L365" t="str">
        <f>IF($F365=1,SUMPRODUCT(($F$2:$F365=1)*1),"")</f>
        <v/>
      </c>
    </row>
    <row r="366" spans="7:12">
      <c r="G366" t="str">
        <f>IF(AND($A366="Starter",$F366=1),SUMPRODUCT(($A$2:$A366="Starter")*($F$2:$F366=1)),"")</f>
        <v/>
      </c>
      <c r="H366" t="str">
        <f>IF(AND($A366="Main",$F366=1),SUMPRODUCT(($A$2:$A366="Main")*($F$2:$F366=1)),"")</f>
        <v/>
      </c>
      <c r="I366" t="str">
        <f>IF(AND($A366="Dessert",$F366=1),SUMPRODUCT(($A$2:$A366="Dessert")*($F$2:$F366=1)),"")</f>
        <v/>
      </c>
      <c r="J366" t="str">
        <f>IF(AND($A366="Side",$F366=1),SUMPRODUCT(($A$2:$A366="Side")*($F$2:$F366=1)),"")</f>
        <v/>
      </c>
      <c r="K366" t="str">
        <f>IF(AND($A366="Drink",$F366=1),SUMPRODUCT(($A$2:$A366="Drink")*($F$2:$F366=1)),"")</f>
        <v/>
      </c>
      <c r="L366" t="str">
        <f>IF($F366=1,SUMPRODUCT(($F$2:$F366=1)*1),"")</f>
        <v/>
      </c>
    </row>
    <row r="367" spans="7:12">
      <c r="G367" t="str">
        <f>IF(AND($A367="Starter",$F367=1),SUMPRODUCT(($A$2:$A367="Starter")*($F$2:$F367=1)),"")</f>
        <v/>
      </c>
      <c r="H367" t="str">
        <f>IF(AND($A367="Main",$F367=1),SUMPRODUCT(($A$2:$A367="Main")*($F$2:$F367=1)),"")</f>
        <v/>
      </c>
      <c r="I367" t="str">
        <f>IF(AND($A367="Dessert",$F367=1),SUMPRODUCT(($A$2:$A367="Dessert")*($F$2:$F367=1)),"")</f>
        <v/>
      </c>
      <c r="J367" t="str">
        <f>IF(AND($A367="Side",$F367=1),SUMPRODUCT(($A$2:$A367="Side")*($F$2:$F367=1)),"")</f>
        <v/>
      </c>
      <c r="K367" t="str">
        <f>IF(AND($A367="Drink",$F367=1),SUMPRODUCT(($A$2:$A367="Drink")*($F$2:$F367=1)),"")</f>
        <v/>
      </c>
      <c r="L367" t="str">
        <f>IF($F367=1,SUMPRODUCT(($F$2:$F367=1)*1),"")</f>
        <v/>
      </c>
    </row>
    <row r="368" spans="7:12">
      <c r="G368" t="str">
        <f>IF(AND($A368="Starter",$F368=1),SUMPRODUCT(($A$2:$A368="Starter")*($F$2:$F368=1)),"")</f>
        <v/>
      </c>
      <c r="H368" t="str">
        <f>IF(AND($A368="Main",$F368=1),SUMPRODUCT(($A$2:$A368="Main")*($F$2:$F368=1)),"")</f>
        <v/>
      </c>
      <c r="I368" t="str">
        <f>IF(AND($A368="Dessert",$F368=1),SUMPRODUCT(($A$2:$A368="Dessert")*($F$2:$F368=1)),"")</f>
        <v/>
      </c>
      <c r="J368" t="str">
        <f>IF(AND($A368="Side",$F368=1),SUMPRODUCT(($A$2:$A368="Side")*($F$2:$F368=1)),"")</f>
        <v/>
      </c>
      <c r="K368" t="str">
        <f>IF(AND($A368="Drink",$F368=1),SUMPRODUCT(($A$2:$A368="Drink")*($F$2:$F368=1)),"")</f>
        <v/>
      </c>
      <c r="L368" t="str">
        <f>IF($F368=1,SUMPRODUCT(($F$2:$F368=1)*1),"")</f>
        <v/>
      </c>
    </row>
    <row r="369" spans="7:12">
      <c r="G369" t="str">
        <f>IF(AND($A369="Starter",$F369=1),SUMPRODUCT(($A$2:$A369="Starter")*($F$2:$F369=1)),"")</f>
        <v/>
      </c>
      <c r="H369" t="str">
        <f>IF(AND($A369="Main",$F369=1),SUMPRODUCT(($A$2:$A369="Main")*($F$2:$F369=1)),"")</f>
        <v/>
      </c>
      <c r="I369" t="str">
        <f>IF(AND($A369="Dessert",$F369=1),SUMPRODUCT(($A$2:$A369="Dessert")*($F$2:$F369=1)),"")</f>
        <v/>
      </c>
      <c r="J369" t="str">
        <f>IF(AND($A369="Side",$F369=1),SUMPRODUCT(($A$2:$A369="Side")*($F$2:$F369=1)),"")</f>
        <v/>
      </c>
      <c r="K369" t="str">
        <f>IF(AND($A369="Drink",$F369=1),SUMPRODUCT(($A$2:$A369="Drink")*($F$2:$F369=1)),"")</f>
        <v/>
      </c>
      <c r="L369" t="str">
        <f>IF($F369=1,SUMPRODUCT(($F$2:$F369=1)*1),"")</f>
        <v/>
      </c>
    </row>
    <row r="370" spans="7:12">
      <c r="G370" t="str">
        <f>IF(AND($A370="Starter",$F370=1),SUMPRODUCT(($A$2:$A370="Starter")*($F$2:$F370=1)),"")</f>
        <v/>
      </c>
      <c r="H370" t="str">
        <f>IF(AND($A370="Main",$F370=1),SUMPRODUCT(($A$2:$A370="Main")*($F$2:$F370=1)),"")</f>
        <v/>
      </c>
      <c r="I370" t="str">
        <f>IF(AND($A370="Dessert",$F370=1),SUMPRODUCT(($A$2:$A370="Dessert")*($F$2:$F370=1)),"")</f>
        <v/>
      </c>
      <c r="J370" t="str">
        <f>IF(AND($A370="Side",$F370=1),SUMPRODUCT(($A$2:$A370="Side")*($F$2:$F370=1)),"")</f>
        <v/>
      </c>
      <c r="K370" t="str">
        <f>IF(AND($A370="Drink",$F370=1),SUMPRODUCT(($A$2:$A370="Drink")*($F$2:$F370=1)),"")</f>
        <v/>
      </c>
      <c r="L370" t="str">
        <f>IF($F370=1,SUMPRODUCT(($F$2:$F370=1)*1),"")</f>
        <v/>
      </c>
    </row>
    <row r="371" spans="7:12">
      <c r="G371" t="str">
        <f>IF(AND($A371="Starter",$F371=1),SUMPRODUCT(($A$2:$A371="Starter")*($F$2:$F371=1)),"")</f>
        <v/>
      </c>
      <c r="H371" t="str">
        <f>IF(AND($A371="Main",$F371=1),SUMPRODUCT(($A$2:$A371="Main")*($F$2:$F371=1)),"")</f>
        <v/>
      </c>
      <c r="I371" t="str">
        <f>IF(AND($A371="Dessert",$F371=1),SUMPRODUCT(($A$2:$A371="Dessert")*($F$2:$F371=1)),"")</f>
        <v/>
      </c>
      <c r="J371" t="str">
        <f>IF(AND($A371="Side",$F371=1),SUMPRODUCT(($A$2:$A371="Side")*($F$2:$F371=1)),"")</f>
        <v/>
      </c>
      <c r="K371" t="str">
        <f>IF(AND($A371="Drink",$F371=1),SUMPRODUCT(($A$2:$A371="Drink")*($F$2:$F371=1)),"")</f>
        <v/>
      </c>
      <c r="L371" t="str">
        <f>IF($F371=1,SUMPRODUCT(($F$2:$F371=1)*1),"")</f>
        <v/>
      </c>
    </row>
    <row r="372" spans="7:12">
      <c r="G372" t="str">
        <f>IF(AND($A372="Starter",$F372=1),SUMPRODUCT(($A$2:$A372="Starter")*($F$2:$F372=1)),"")</f>
        <v/>
      </c>
      <c r="H372" t="str">
        <f>IF(AND($A372="Main",$F372=1),SUMPRODUCT(($A$2:$A372="Main")*($F$2:$F372=1)),"")</f>
        <v/>
      </c>
      <c r="I372" t="str">
        <f>IF(AND($A372="Dessert",$F372=1),SUMPRODUCT(($A$2:$A372="Dessert")*($F$2:$F372=1)),"")</f>
        <v/>
      </c>
      <c r="J372" t="str">
        <f>IF(AND($A372="Side",$F372=1),SUMPRODUCT(($A$2:$A372="Side")*($F$2:$F372=1)),"")</f>
        <v/>
      </c>
      <c r="K372" t="str">
        <f>IF(AND($A372="Drink",$F372=1),SUMPRODUCT(($A$2:$A372="Drink")*($F$2:$F372=1)),"")</f>
        <v/>
      </c>
      <c r="L372" t="str">
        <f>IF($F372=1,SUMPRODUCT(($F$2:$F372=1)*1),"")</f>
        <v/>
      </c>
    </row>
    <row r="373" spans="7:12">
      <c r="G373" t="str">
        <f>IF(AND($A373="Starter",$F373=1),SUMPRODUCT(($A$2:$A373="Starter")*($F$2:$F373=1)),"")</f>
        <v/>
      </c>
      <c r="H373" t="str">
        <f>IF(AND($A373="Main",$F373=1),SUMPRODUCT(($A$2:$A373="Main")*($F$2:$F373=1)),"")</f>
        <v/>
      </c>
      <c r="I373" t="str">
        <f>IF(AND($A373="Dessert",$F373=1),SUMPRODUCT(($A$2:$A373="Dessert")*($F$2:$F373=1)),"")</f>
        <v/>
      </c>
      <c r="J373" t="str">
        <f>IF(AND($A373="Side",$F373=1),SUMPRODUCT(($A$2:$A373="Side")*($F$2:$F373=1)),"")</f>
        <v/>
      </c>
      <c r="K373" t="str">
        <f>IF(AND($A373="Drink",$F373=1),SUMPRODUCT(($A$2:$A373="Drink")*($F$2:$F373=1)),"")</f>
        <v/>
      </c>
      <c r="L373" t="str">
        <f>IF($F373=1,SUMPRODUCT(($F$2:$F373=1)*1),"")</f>
        <v/>
      </c>
    </row>
    <row r="374" spans="7:12">
      <c r="G374" t="str">
        <f>IF(AND($A374="Starter",$F374=1),SUMPRODUCT(($A$2:$A374="Starter")*($F$2:$F374=1)),"")</f>
        <v/>
      </c>
      <c r="H374" t="str">
        <f>IF(AND($A374="Main",$F374=1),SUMPRODUCT(($A$2:$A374="Main")*($F$2:$F374=1)),"")</f>
        <v/>
      </c>
      <c r="I374" t="str">
        <f>IF(AND($A374="Dessert",$F374=1),SUMPRODUCT(($A$2:$A374="Dessert")*($F$2:$F374=1)),"")</f>
        <v/>
      </c>
      <c r="J374" t="str">
        <f>IF(AND($A374="Side",$F374=1),SUMPRODUCT(($A$2:$A374="Side")*($F$2:$F374=1)),"")</f>
        <v/>
      </c>
      <c r="K374" t="str">
        <f>IF(AND($A374="Drink",$F374=1),SUMPRODUCT(($A$2:$A374="Drink")*($F$2:$F374=1)),"")</f>
        <v/>
      </c>
      <c r="L374" t="str">
        <f>IF($F374=1,SUMPRODUCT(($F$2:$F374=1)*1),"")</f>
        <v/>
      </c>
    </row>
    <row r="375" spans="7:12">
      <c r="G375" t="str">
        <f>IF(AND($A375="Starter",$F375=1),SUMPRODUCT(($A$2:$A375="Starter")*($F$2:$F375=1)),"")</f>
        <v/>
      </c>
      <c r="H375" t="str">
        <f>IF(AND($A375="Main",$F375=1),SUMPRODUCT(($A$2:$A375="Main")*($F$2:$F375=1)),"")</f>
        <v/>
      </c>
      <c r="I375" t="str">
        <f>IF(AND($A375="Dessert",$F375=1),SUMPRODUCT(($A$2:$A375="Dessert")*($F$2:$F375=1)),"")</f>
        <v/>
      </c>
      <c r="J375" t="str">
        <f>IF(AND($A375="Side",$F375=1),SUMPRODUCT(($A$2:$A375="Side")*($F$2:$F375=1)),"")</f>
        <v/>
      </c>
      <c r="K375" t="str">
        <f>IF(AND($A375="Drink",$F375=1),SUMPRODUCT(($A$2:$A375="Drink")*($F$2:$F375=1)),"")</f>
        <v/>
      </c>
      <c r="L375" t="str">
        <f>IF($F375=1,SUMPRODUCT(($F$2:$F375=1)*1),"")</f>
        <v/>
      </c>
    </row>
    <row r="376" spans="7:12">
      <c r="G376" t="str">
        <f>IF(AND($A376="Starter",$F376=1),SUMPRODUCT(($A$2:$A376="Starter")*($F$2:$F376=1)),"")</f>
        <v/>
      </c>
      <c r="H376" t="str">
        <f>IF(AND($A376="Main",$F376=1),SUMPRODUCT(($A$2:$A376="Main")*($F$2:$F376=1)),"")</f>
        <v/>
      </c>
      <c r="I376" t="str">
        <f>IF(AND($A376="Dessert",$F376=1),SUMPRODUCT(($A$2:$A376="Dessert")*($F$2:$F376=1)),"")</f>
        <v/>
      </c>
      <c r="J376" t="str">
        <f>IF(AND($A376="Side",$F376=1),SUMPRODUCT(($A$2:$A376="Side")*($F$2:$F376=1)),"")</f>
        <v/>
      </c>
      <c r="K376" t="str">
        <f>IF(AND($A376="Drink",$F376=1),SUMPRODUCT(($A$2:$A376="Drink")*($F$2:$F376=1)),"")</f>
        <v/>
      </c>
      <c r="L376" t="str">
        <f>IF($F376=1,SUMPRODUCT(($F$2:$F376=1)*1),"")</f>
        <v/>
      </c>
    </row>
    <row r="377" spans="7:12">
      <c r="G377" t="str">
        <f>IF(AND($A377="Starter",$F377=1),SUMPRODUCT(($A$2:$A377="Starter")*($F$2:$F377=1)),"")</f>
        <v/>
      </c>
      <c r="H377" t="str">
        <f>IF(AND($A377="Main",$F377=1),SUMPRODUCT(($A$2:$A377="Main")*($F$2:$F377=1)),"")</f>
        <v/>
      </c>
      <c r="I377" t="str">
        <f>IF(AND($A377="Dessert",$F377=1),SUMPRODUCT(($A$2:$A377="Dessert")*($F$2:$F377=1)),"")</f>
        <v/>
      </c>
      <c r="J377" t="str">
        <f>IF(AND($A377="Side",$F377=1),SUMPRODUCT(($A$2:$A377="Side")*($F$2:$F377=1)),"")</f>
        <v/>
      </c>
      <c r="K377" t="str">
        <f>IF(AND($A377="Drink",$F377=1),SUMPRODUCT(($A$2:$A377="Drink")*($F$2:$F377=1)),"")</f>
        <v/>
      </c>
      <c r="L377" t="str">
        <f>IF($F377=1,SUMPRODUCT(($F$2:$F377=1)*1),"")</f>
        <v/>
      </c>
    </row>
    <row r="378" spans="7:12">
      <c r="G378" t="str">
        <f>IF(AND($A378="Starter",$F378=1),SUMPRODUCT(($A$2:$A378="Starter")*($F$2:$F378=1)),"")</f>
        <v/>
      </c>
      <c r="H378" t="str">
        <f>IF(AND($A378="Main",$F378=1),SUMPRODUCT(($A$2:$A378="Main")*($F$2:$F378=1)),"")</f>
        <v/>
      </c>
      <c r="I378" t="str">
        <f>IF(AND($A378="Dessert",$F378=1),SUMPRODUCT(($A$2:$A378="Dessert")*($F$2:$F378=1)),"")</f>
        <v/>
      </c>
      <c r="J378" t="str">
        <f>IF(AND($A378="Side",$F378=1),SUMPRODUCT(($A$2:$A378="Side")*($F$2:$F378=1)),"")</f>
        <v/>
      </c>
      <c r="K378" t="str">
        <f>IF(AND($A378="Drink",$F378=1),SUMPRODUCT(($A$2:$A378="Drink")*($F$2:$F378=1)),"")</f>
        <v/>
      </c>
      <c r="L378" t="str">
        <f>IF($F378=1,SUMPRODUCT(($F$2:$F378=1)*1),"")</f>
        <v/>
      </c>
    </row>
    <row r="379" spans="7:12">
      <c r="G379" t="str">
        <f>IF(AND($A379="Starter",$F379=1),SUMPRODUCT(($A$2:$A379="Starter")*($F$2:$F379=1)),"")</f>
        <v/>
      </c>
      <c r="H379" t="str">
        <f>IF(AND($A379="Main",$F379=1),SUMPRODUCT(($A$2:$A379="Main")*($F$2:$F379=1)),"")</f>
        <v/>
      </c>
      <c r="I379" t="str">
        <f>IF(AND($A379="Dessert",$F379=1),SUMPRODUCT(($A$2:$A379="Dessert")*($F$2:$F379=1)),"")</f>
        <v/>
      </c>
      <c r="J379" t="str">
        <f>IF(AND($A379="Side",$F379=1),SUMPRODUCT(($A$2:$A379="Side")*($F$2:$F379=1)),"")</f>
        <v/>
      </c>
      <c r="K379" t="str">
        <f>IF(AND($A379="Drink",$F379=1),SUMPRODUCT(($A$2:$A379="Drink")*($F$2:$F379=1)),"")</f>
        <v/>
      </c>
      <c r="L379" t="str">
        <f>IF($F379=1,SUMPRODUCT(($F$2:$F379=1)*1),"")</f>
        <v/>
      </c>
    </row>
    <row r="380" spans="7:12">
      <c r="G380" t="str">
        <f>IF(AND($A380="Starter",$F380=1),SUMPRODUCT(($A$2:$A380="Starter")*($F$2:$F380=1)),"")</f>
        <v/>
      </c>
      <c r="H380" t="str">
        <f>IF(AND($A380="Main",$F380=1),SUMPRODUCT(($A$2:$A380="Main")*($F$2:$F380=1)),"")</f>
        <v/>
      </c>
      <c r="I380" t="str">
        <f>IF(AND($A380="Dessert",$F380=1),SUMPRODUCT(($A$2:$A380="Dessert")*($F$2:$F380=1)),"")</f>
        <v/>
      </c>
      <c r="J380" t="str">
        <f>IF(AND($A380="Side",$F380=1),SUMPRODUCT(($A$2:$A380="Side")*($F$2:$F380=1)),"")</f>
        <v/>
      </c>
      <c r="K380" t="str">
        <f>IF(AND($A380="Drink",$F380=1),SUMPRODUCT(($A$2:$A380="Drink")*($F$2:$F380=1)),"")</f>
        <v/>
      </c>
      <c r="L380" t="str">
        <f>IF($F380=1,SUMPRODUCT(($F$2:$F380=1)*1),"")</f>
        <v/>
      </c>
    </row>
    <row r="381" spans="7:12">
      <c r="G381" t="str">
        <f>IF(AND($A381="Starter",$F381=1),SUMPRODUCT(($A$2:$A381="Starter")*($F$2:$F381=1)),"")</f>
        <v/>
      </c>
      <c r="H381" t="str">
        <f>IF(AND($A381="Main",$F381=1),SUMPRODUCT(($A$2:$A381="Main")*($F$2:$F381=1)),"")</f>
        <v/>
      </c>
      <c r="I381" t="str">
        <f>IF(AND($A381="Dessert",$F381=1),SUMPRODUCT(($A$2:$A381="Dessert")*($F$2:$F381=1)),"")</f>
        <v/>
      </c>
      <c r="J381" t="str">
        <f>IF(AND($A381="Side",$F381=1),SUMPRODUCT(($A$2:$A381="Side")*($F$2:$F381=1)),"")</f>
        <v/>
      </c>
      <c r="K381" t="str">
        <f>IF(AND($A381="Drink",$F381=1),SUMPRODUCT(($A$2:$A381="Drink")*($F$2:$F381=1)),"")</f>
        <v/>
      </c>
      <c r="L381" t="str">
        <f>IF($F381=1,SUMPRODUCT(($F$2:$F381=1)*1),"")</f>
        <v/>
      </c>
    </row>
    <row r="382" spans="7:12">
      <c r="G382" t="str">
        <f>IF(AND($A382="Starter",$F382=1),SUMPRODUCT(($A$2:$A382="Starter")*($F$2:$F382=1)),"")</f>
        <v/>
      </c>
      <c r="H382" t="str">
        <f>IF(AND($A382="Main",$F382=1),SUMPRODUCT(($A$2:$A382="Main")*($F$2:$F382=1)),"")</f>
        <v/>
      </c>
      <c r="I382" t="str">
        <f>IF(AND($A382="Dessert",$F382=1),SUMPRODUCT(($A$2:$A382="Dessert")*($F$2:$F382=1)),"")</f>
        <v/>
      </c>
      <c r="J382" t="str">
        <f>IF(AND($A382="Side",$F382=1),SUMPRODUCT(($A$2:$A382="Side")*($F$2:$F382=1)),"")</f>
        <v/>
      </c>
      <c r="K382" t="str">
        <f>IF(AND($A382="Drink",$F382=1),SUMPRODUCT(($A$2:$A382="Drink")*($F$2:$F382=1)),"")</f>
        <v/>
      </c>
      <c r="L382" t="str">
        <f>IF($F382=1,SUMPRODUCT(($F$2:$F382=1)*1),"")</f>
        <v/>
      </c>
    </row>
    <row r="383" spans="7:12">
      <c r="G383" t="str">
        <f>IF(AND($A383="Starter",$F383=1),SUMPRODUCT(($A$2:$A383="Starter")*($F$2:$F383=1)),"")</f>
        <v/>
      </c>
      <c r="H383" t="str">
        <f>IF(AND($A383="Main",$F383=1),SUMPRODUCT(($A$2:$A383="Main")*($F$2:$F383=1)),"")</f>
        <v/>
      </c>
      <c r="I383" t="str">
        <f>IF(AND($A383="Dessert",$F383=1),SUMPRODUCT(($A$2:$A383="Dessert")*($F$2:$F383=1)),"")</f>
        <v/>
      </c>
      <c r="J383" t="str">
        <f>IF(AND($A383="Side",$F383=1),SUMPRODUCT(($A$2:$A383="Side")*($F$2:$F383=1)),"")</f>
        <v/>
      </c>
      <c r="K383" t="str">
        <f>IF(AND($A383="Drink",$F383=1),SUMPRODUCT(($A$2:$A383="Drink")*($F$2:$F383=1)),"")</f>
        <v/>
      </c>
      <c r="L383" t="str">
        <f>IF($F383=1,SUMPRODUCT(($F$2:$F383=1)*1),"")</f>
        <v/>
      </c>
    </row>
    <row r="384" spans="7:12">
      <c r="G384" t="str">
        <f>IF(AND($A384="Starter",$F384=1),SUMPRODUCT(($A$2:$A384="Starter")*($F$2:$F384=1)),"")</f>
        <v/>
      </c>
      <c r="H384" t="str">
        <f>IF(AND($A384="Main",$F384=1),SUMPRODUCT(($A$2:$A384="Main")*($F$2:$F384=1)),"")</f>
        <v/>
      </c>
      <c r="I384" t="str">
        <f>IF(AND($A384="Dessert",$F384=1),SUMPRODUCT(($A$2:$A384="Dessert")*($F$2:$F384=1)),"")</f>
        <v/>
      </c>
      <c r="J384" t="str">
        <f>IF(AND($A384="Side",$F384=1),SUMPRODUCT(($A$2:$A384="Side")*($F$2:$F384=1)),"")</f>
        <v/>
      </c>
      <c r="K384" t="str">
        <f>IF(AND($A384="Drink",$F384=1),SUMPRODUCT(($A$2:$A384="Drink")*($F$2:$F384=1)),"")</f>
        <v/>
      </c>
      <c r="L384" t="str">
        <f>IF($F384=1,SUMPRODUCT(($F$2:$F384=1)*1),"")</f>
        <v/>
      </c>
    </row>
    <row r="385" spans="7:12">
      <c r="G385" t="str">
        <f>IF(AND($A385="Starter",$F385=1),SUMPRODUCT(($A$2:$A385="Starter")*($F$2:$F385=1)),"")</f>
        <v/>
      </c>
      <c r="H385" t="str">
        <f>IF(AND($A385="Main",$F385=1),SUMPRODUCT(($A$2:$A385="Main")*($F$2:$F385=1)),"")</f>
        <v/>
      </c>
      <c r="I385" t="str">
        <f>IF(AND($A385="Dessert",$F385=1),SUMPRODUCT(($A$2:$A385="Dessert")*($F$2:$F385=1)),"")</f>
        <v/>
      </c>
      <c r="J385" t="str">
        <f>IF(AND($A385="Side",$F385=1),SUMPRODUCT(($A$2:$A385="Side")*($F$2:$F385=1)),"")</f>
        <v/>
      </c>
      <c r="K385" t="str">
        <f>IF(AND($A385="Drink",$F385=1),SUMPRODUCT(($A$2:$A385="Drink")*($F$2:$F385=1)),"")</f>
        <v/>
      </c>
      <c r="L385" t="str">
        <f>IF($F385=1,SUMPRODUCT(($F$2:$F385=1)*1),"")</f>
        <v/>
      </c>
    </row>
    <row r="386" spans="7:12">
      <c r="G386" t="str">
        <f>IF(AND($A386="Starter",$F386=1),SUMPRODUCT(($A$2:$A386="Starter")*($F$2:$F386=1)),"")</f>
        <v/>
      </c>
      <c r="H386" t="str">
        <f>IF(AND($A386="Main",$F386=1),SUMPRODUCT(($A$2:$A386="Main")*($F$2:$F386=1)),"")</f>
        <v/>
      </c>
      <c r="I386" t="str">
        <f>IF(AND($A386="Dessert",$F386=1),SUMPRODUCT(($A$2:$A386="Dessert")*($F$2:$F386=1)),"")</f>
        <v/>
      </c>
      <c r="J386" t="str">
        <f>IF(AND($A386="Side",$F386=1),SUMPRODUCT(($A$2:$A386="Side")*($F$2:$F386=1)),"")</f>
        <v/>
      </c>
      <c r="K386" t="str">
        <f>IF(AND($A386="Drink",$F386=1),SUMPRODUCT(($A$2:$A386="Drink")*($F$2:$F386=1)),"")</f>
        <v/>
      </c>
      <c r="L386" t="str">
        <f>IF($F386=1,SUMPRODUCT(($F$2:$F386=1)*1),"")</f>
        <v/>
      </c>
    </row>
    <row r="387" spans="7:12">
      <c r="G387" t="str">
        <f>IF(AND($A387="Starter",$F387=1),SUMPRODUCT(($A$2:$A387="Starter")*($F$2:$F387=1)),"")</f>
        <v/>
      </c>
      <c r="H387" t="str">
        <f>IF(AND($A387="Main",$F387=1),SUMPRODUCT(($A$2:$A387="Main")*($F$2:$F387=1)),"")</f>
        <v/>
      </c>
      <c r="I387" t="str">
        <f>IF(AND($A387="Dessert",$F387=1),SUMPRODUCT(($A$2:$A387="Dessert")*($F$2:$F387=1)),"")</f>
        <v/>
      </c>
      <c r="J387" t="str">
        <f>IF(AND($A387="Side",$F387=1),SUMPRODUCT(($A$2:$A387="Side")*($F$2:$F387=1)),"")</f>
        <v/>
      </c>
      <c r="K387" t="str">
        <f>IF(AND($A387="Drink",$F387=1),SUMPRODUCT(($A$2:$A387="Drink")*($F$2:$F387=1)),"")</f>
        <v/>
      </c>
      <c r="L387" t="str">
        <f>IF($F387=1,SUMPRODUCT(($F$2:$F387=1)*1),"")</f>
        <v/>
      </c>
    </row>
    <row r="388" spans="7:12">
      <c r="G388" t="str">
        <f>IF(AND($A388="Starter",$F388=1),SUMPRODUCT(($A$2:$A388="Starter")*($F$2:$F388=1)),"")</f>
        <v/>
      </c>
      <c r="H388" t="str">
        <f>IF(AND($A388="Main",$F388=1),SUMPRODUCT(($A$2:$A388="Main")*($F$2:$F388=1)),"")</f>
        <v/>
      </c>
      <c r="I388" t="str">
        <f>IF(AND($A388="Dessert",$F388=1),SUMPRODUCT(($A$2:$A388="Dessert")*($F$2:$F388=1)),"")</f>
        <v/>
      </c>
      <c r="J388" t="str">
        <f>IF(AND($A388="Side",$F388=1),SUMPRODUCT(($A$2:$A388="Side")*($F$2:$F388=1)),"")</f>
        <v/>
      </c>
      <c r="K388" t="str">
        <f>IF(AND($A388="Drink",$F388=1),SUMPRODUCT(($A$2:$A388="Drink")*($F$2:$F388=1)),"")</f>
        <v/>
      </c>
      <c r="L388" t="str">
        <f>IF($F388=1,SUMPRODUCT(($F$2:$F388=1)*1),"")</f>
        <v/>
      </c>
    </row>
    <row r="389" spans="7:12">
      <c r="G389" t="str">
        <f>IF(AND($A389="Starter",$F389=1),SUMPRODUCT(($A$2:$A389="Starter")*($F$2:$F389=1)),"")</f>
        <v/>
      </c>
      <c r="H389" t="str">
        <f>IF(AND($A389="Main",$F389=1),SUMPRODUCT(($A$2:$A389="Main")*($F$2:$F389=1)),"")</f>
        <v/>
      </c>
      <c r="I389" t="str">
        <f>IF(AND($A389="Dessert",$F389=1),SUMPRODUCT(($A$2:$A389="Dessert")*($F$2:$F389=1)),"")</f>
        <v/>
      </c>
      <c r="J389" t="str">
        <f>IF(AND($A389="Side",$F389=1),SUMPRODUCT(($A$2:$A389="Side")*($F$2:$F389=1)),"")</f>
        <v/>
      </c>
      <c r="K389" t="str">
        <f>IF(AND($A389="Drink",$F389=1),SUMPRODUCT(($A$2:$A389="Drink")*($F$2:$F389=1)),"")</f>
        <v/>
      </c>
      <c r="L389" t="str">
        <f>IF($F389=1,SUMPRODUCT(($F$2:$F389=1)*1),"")</f>
        <v/>
      </c>
    </row>
    <row r="390" spans="7:12">
      <c r="G390" t="str">
        <f>IF(AND($A390="Starter",$F390=1),SUMPRODUCT(($A$2:$A390="Starter")*($F$2:$F390=1)),"")</f>
        <v/>
      </c>
      <c r="H390" t="str">
        <f>IF(AND($A390="Main",$F390=1),SUMPRODUCT(($A$2:$A390="Main")*($F$2:$F390=1)),"")</f>
        <v/>
      </c>
      <c r="I390" t="str">
        <f>IF(AND($A390="Dessert",$F390=1),SUMPRODUCT(($A$2:$A390="Dessert")*($F$2:$F390=1)),"")</f>
        <v/>
      </c>
      <c r="J390" t="str">
        <f>IF(AND($A390="Side",$F390=1),SUMPRODUCT(($A$2:$A390="Side")*($F$2:$F390=1)),"")</f>
        <v/>
      </c>
      <c r="K390" t="str">
        <f>IF(AND($A390="Drink",$F390=1),SUMPRODUCT(($A$2:$A390="Drink")*($F$2:$F390=1)),"")</f>
        <v/>
      </c>
      <c r="L390" t="str">
        <f>IF($F390=1,SUMPRODUCT(($F$2:$F390=1)*1),"")</f>
        <v/>
      </c>
    </row>
    <row r="391" spans="7:12">
      <c r="G391" t="str">
        <f>IF(AND($A391="Starter",$F391=1),SUMPRODUCT(($A$2:$A391="Starter")*($F$2:$F391=1)),"")</f>
        <v/>
      </c>
      <c r="H391" t="str">
        <f>IF(AND($A391="Main",$F391=1),SUMPRODUCT(($A$2:$A391="Main")*($F$2:$F391=1)),"")</f>
        <v/>
      </c>
      <c r="I391" t="str">
        <f>IF(AND($A391="Dessert",$F391=1),SUMPRODUCT(($A$2:$A391="Dessert")*($F$2:$F391=1)),"")</f>
        <v/>
      </c>
      <c r="J391" t="str">
        <f>IF(AND($A391="Side",$F391=1),SUMPRODUCT(($A$2:$A391="Side")*($F$2:$F391=1)),"")</f>
        <v/>
      </c>
      <c r="K391" t="str">
        <f>IF(AND($A391="Drink",$F391=1),SUMPRODUCT(($A$2:$A391="Drink")*($F$2:$F391=1)),"")</f>
        <v/>
      </c>
      <c r="L391" t="str">
        <f>IF($F391=1,SUMPRODUCT(($F$2:$F391=1)*1),"")</f>
        <v/>
      </c>
    </row>
    <row r="392" spans="7:12">
      <c r="G392" t="str">
        <f>IF(AND($A392="Starter",$F392=1),SUMPRODUCT(($A$2:$A392="Starter")*($F$2:$F392=1)),"")</f>
        <v/>
      </c>
      <c r="H392" t="str">
        <f>IF(AND($A392="Main",$F392=1),SUMPRODUCT(($A$2:$A392="Main")*($F$2:$F392=1)),"")</f>
        <v/>
      </c>
      <c r="I392" t="str">
        <f>IF(AND($A392="Dessert",$F392=1),SUMPRODUCT(($A$2:$A392="Dessert")*($F$2:$F392=1)),"")</f>
        <v/>
      </c>
      <c r="J392" t="str">
        <f>IF(AND($A392="Side",$F392=1),SUMPRODUCT(($A$2:$A392="Side")*($F$2:$F392=1)),"")</f>
        <v/>
      </c>
      <c r="K392" t="str">
        <f>IF(AND($A392="Drink",$F392=1),SUMPRODUCT(($A$2:$A392="Drink")*($F$2:$F392=1)),"")</f>
        <v/>
      </c>
      <c r="L392" t="str">
        <f>IF($F392=1,SUMPRODUCT(($F$2:$F392=1)*1),"")</f>
        <v/>
      </c>
    </row>
    <row r="393" spans="7:12">
      <c r="G393" t="str">
        <f>IF(AND($A393="Starter",$F393=1),SUMPRODUCT(($A$2:$A393="Starter")*($F$2:$F393=1)),"")</f>
        <v/>
      </c>
      <c r="H393" t="str">
        <f>IF(AND($A393="Main",$F393=1),SUMPRODUCT(($A$2:$A393="Main")*($F$2:$F393=1)),"")</f>
        <v/>
      </c>
      <c r="I393" t="str">
        <f>IF(AND($A393="Dessert",$F393=1),SUMPRODUCT(($A$2:$A393="Dessert")*($F$2:$F393=1)),"")</f>
        <v/>
      </c>
      <c r="J393" t="str">
        <f>IF(AND($A393="Side",$F393=1),SUMPRODUCT(($A$2:$A393="Side")*($F$2:$F393=1)),"")</f>
        <v/>
      </c>
      <c r="K393" t="str">
        <f>IF(AND($A393="Drink",$F393=1),SUMPRODUCT(($A$2:$A393="Drink")*($F$2:$F393=1)),"")</f>
        <v/>
      </c>
      <c r="L393" t="str">
        <f>IF($F393=1,SUMPRODUCT(($F$2:$F393=1)*1),"")</f>
        <v/>
      </c>
    </row>
    <row r="394" spans="7:12">
      <c r="G394" t="str">
        <f>IF(AND($A394="Starter",$F394=1),SUMPRODUCT(($A$2:$A394="Starter")*($F$2:$F394=1)),"")</f>
        <v/>
      </c>
      <c r="H394" t="str">
        <f>IF(AND($A394="Main",$F394=1),SUMPRODUCT(($A$2:$A394="Main")*($F$2:$F394=1)),"")</f>
        <v/>
      </c>
      <c r="I394" t="str">
        <f>IF(AND($A394="Dessert",$F394=1),SUMPRODUCT(($A$2:$A394="Dessert")*($F$2:$F394=1)),"")</f>
        <v/>
      </c>
      <c r="J394" t="str">
        <f>IF(AND($A394="Side",$F394=1),SUMPRODUCT(($A$2:$A394="Side")*($F$2:$F394=1)),"")</f>
        <v/>
      </c>
      <c r="K394" t="str">
        <f>IF(AND($A394="Drink",$F394=1),SUMPRODUCT(($A$2:$A394="Drink")*($F$2:$F394=1)),"")</f>
        <v/>
      </c>
      <c r="L394" t="str">
        <f>IF($F394=1,SUMPRODUCT(($F$2:$F394=1)*1),"")</f>
        <v/>
      </c>
    </row>
    <row r="395" spans="7:12">
      <c r="G395" t="str">
        <f>IF(AND($A395="Starter",$F395=1),SUMPRODUCT(($A$2:$A395="Starter")*($F$2:$F395=1)),"")</f>
        <v/>
      </c>
      <c r="H395" t="str">
        <f>IF(AND($A395="Main",$F395=1),SUMPRODUCT(($A$2:$A395="Main")*($F$2:$F395=1)),"")</f>
        <v/>
      </c>
      <c r="I395" t="str">
        <f>IF(AND($A395="Dessert",$F395=1),SUMPRODUCT(($A$2:$A395="Dessert")*($F$2:$F395=1)),"")</f>
        <v/>
      </c>
      <c r="J395" t="str">
        <f>IF(AND($A395="Side",$F395=1),SUMPRODUCT(($A$2:$A395="Side")*($F$2:$F395=1)),"")</f>
        <v/>
      </c>
      <c r="K395" t="str">
        <f>IF(AND($A395="Drink",$F395=1),SUMPRODUCT(($A$2:$A395="Drink")*($F$2:$F395=1)),"")</f>
        <v/>
      </c>
      <c r="L395" t="str">
        <f>IF($F395=1,SUMPRODUCT(($F$2:$F395=1)*1),"")</f>
        <v/>
      </c>
    </row>
    <row r="396" spans="7:12">
      <c r="G396" t="str">
        <f>IF(AND($A396="Starter",$F396=1),SUMPRODUCT(($A$2:$A396="Starter")*($F$2:$F396=1)),"")</f>
        <v/>
      </c>
      <c r="H396" t="str">
        <f>IF(AND($A396="Main",$F396=1),SUMPRODUCT(($A$2:$A396="Main")*($F$2:$F396=1)),"")</f>
        <v/>
      </c>
      <c r="I396" t="str">
        <f>IF(AND($A396="Dessert",$F396=1),SUMPRODUCT(($A$2:$A396="Dessert")*($F$2:$F396=1)),"")</f>
        <v/>
      </c>
      <c r="J396" t="str">
        <f>IF(AND($A396="Side",$F396=1),SUMPRODUCT(($A$2:$A396="Side")*($F$2:$F396=1)),"")</f>
        <v/>
      </c>
      <c r="K396" t="str">
        <f>IF(AND($A396="Drink",$F396=1),SUMPRODUCT(($A$2:$A396="Drink")*($F$2:$F396=1)),"")</f>
        <v/>
      </c>
      <c r="L396" t="str">
        <f>IF($F396=1,SUMPRODUCT(($F$2:$F396=1)*1),"")</f>
        <v/>
      </c>
    </row>
    <row r="397" spans="7:12">
      <c r="G397" t="str">
        <f>IF(AND($A397="Starter",$F397=1),SUMPRODUCT(($A$2:$A397="Starter")*($F$2:$F397=1)),"")</f>
        <v/>
      </c>
      <c r="H397" t="str">
        <f>IF(AND($A397="Main",$F397=1),SUMPRODUCT(($A$2:$A397="Main")*($F$2:$F397=1)),"")</f>
        <v/>
      </c>
      <c r="I397" t="str">
        <f>IF(AND($A397="Dessert",$F397=1),SUMPRODUCT(($A$2:$A397="Dessert")*($F$2:$F397=1)),"")</f>
        <v/>
      </c>
      <c r="J397" t="str">
        <f>IF(AND($A397="Side",$F397=1),SUMPRODUCT(($A$2:$A397="Side")*($F$2:$F397=1)),"")</f>
        <v/>
      </c>
      <c r="K397" t="str">
        <f>IF(AND($A397="Drink",$F397=1),SUMPRODUCT(($A$2:$A397="Drink")*($F$2:$F397=1)),"")</f>
        <v/>
      </c>
      <c r="L397" t="str">
        <f>IF($F397=1,SUMPRODUCT(($F$2:$F397=1)*1),"")</f>
        <v/>
      </c>
    </row>
    <row r="398" spans="7:12">
      <c r="G398" t="str">
        <f>IF(AND($A398="Starter",$F398=1),SUMPRODUCT(($A$2:$A398="Starter")*($F$2:$F398=1)),"")</f>
        <v/>
      </c>
      <c r="H398" t="str">
        <f>IF(AND($A398="Main",$F398=1),SUMPRODUCT(($A$2:$A398="Main")*($F$2:$F398=1)),"")</f>
        <v/>
      </c>
      <c r="I398" t="str">
        <f>IF(AND($A398="Dessert",$F398=1),SUMPRODUCT(($A$2:$A398="Dessert")*($F$2:$F398=1)),"")</f>
        <v/>
      </c>
      <c r="J398" t="str">
        <f>IF(AND($A398="Side",$F398=1),SUMPRODUCT(($A$2:$A398="Side")*($F$2:$F398=1)),"")</f>
        <v/>
      </c>
      <c r="K398" t="str">
        <f>IF(AND($A398="Drink",$F398=1),SUMPRODUCT(($A$2:$A398="Drink")*($F$2:$F398=1)),"")</f>
        <v/>
      </c>
      <c r="L398" t="str">
        <f>IF($F398=1,SUMPRODUCT(($F$2:$F398=1)*1),"")</f>
        <v/>
      </c>
    </row>
    <row r="399" spans="7:12">
      <c r="G399" t="str">
        <f>IF(AND($A399="Starter",$F399=1),SUMPRODUCT(($A$2:$A399="Starter")*($F$2:$F399=1)),"")</f>
        <v/>
      </c>
      <c r="H399" t="str">
        <f>IF(AND($A399="Main",$F399=1),SUMPRODUCT(($A$2:$A399="Main")*($F$2:$F399=1)),"")</f>
        <v/>
      </c>
      <c r="I399" t="str">
        <f>IF(AND($A399="Dessert",$F399=1),SUMPRODUCT(($A$2:$A399="Dessert")*($F$2:$F399=1)),"")</f>
        <v/>
      </c>
      <c r="J399" t="str">
        <f>IF(AND($A399="Side",$F399=1),SUMPRODUCT(($A$2:$A399="Side")*($F$2:$F399=1)),"")</f>
        <v/>
      </c>
      <c r="K399" t="str">
        <f>IF(AND($A399="Drink",$F399=1),SUMPRODUCT(($A$2:$A399="Drink")*($F$2:$F399=1)),"")</f>
        <v/>
      </c>
      <c r="L399" t="str">
        <f>IF($F399=1,SUMPRODUCT(($F$2:$F399=1)*1),"")</f>
        <v/>
      </c>
    </row>
    <row r="400" spans="7:12">
      <c r="G400" t="str">
        <f>IF(AND($A400="Starter",$F400=1),SUMPRODUCT(($A$2:$A400="Starter")*($F$2:$F400=1)),"")</f>
        <v/>
      </c>
      <c r="H400" t="str">
        <f>IF(AND($A400="Main",$F400=1),SUMPRODUCT(($A$2:$A400="Main")*($F$2:$F400=1)),"")</f>
        <v/>
      </c>
      <c r="I400" t="str">
        <f>IF(AND($A400="Dessert",$F400=1),SUMPRODUCT(($A$2:$A400="Dessert")*($F$2:$F400=1)),"")</f>
        <v/>
      </c>
      <c r="J400" t="str">
        <f>IF(AND($A400="Side",$F400=1),SUMPRODUCT(($A$2:$A400="Side")*($F$2:$F400=1)),"")</f>
        <v/>
      </c>
      <c r="K400" t="str">
        <f>IF(AND($A400="Drink",$F400=1),SUMPRODUCT(($A$2:$A400="Drink")*($F$2:$F400=1)),"")</f>
        <v/>
      </c>
      <c r="L400" t="str">
        <f>IF($F400=1,SUMPRODUCT(($F$2:$F400=1)*1),"")</f>
        <v/>
      </c>
    </row>
    <row r="401" spans="7:12">
      <c r="G401" t="str">
        <f>IF(AND($A401="Starter",$F401=1),SUMPRODUCT(($A$2:$A401="Starter")*($F$2:$F401=1)),"")</f>
        <v/>
      </c>
      <c r="H401" t="str">
        <f>IF(AND($A401="Main",$F401=1),SUMPRODUCT(($A$2:$A401="Main")*($F$2:$F401=1)),"")</f>
        <v/>
      </c>
      <c r="I401" t="str">
        <f>IF(AND($A401="Dessert",$F401=1),SUMPRODUCT(($A$2:$A401="Dessert")*($F$2:$F401=1)),"")</f>
        <v/>
      </c>
      <c r="J401" t="str">
        <f>IF(AND($A401="Side",$F401=1),SUMPRODUCT(($A$2:$A401="Side")*($F$2:$F401=1)),"")</f>
        <v/>
      </c>
      <c r="K401" t="str">
        <f>IF(AND($A401="Drink",$F401=1),SUMPRODUCT(($A$2:$A401="Drink")*($F$2:$F401=1)),"")</f>
        <v/>
      </c>
      <c r="L401" t="str">
        <f>IF($F401=1,SUMPRODUCT(($F$2:$F401=1)*1),"")</f>
        <v/>
      </c>
    </row>
    <row r="402" spans="7:12">
      <c r="G402" t="str">
        <f>IF(AND($A402="Starter",$F402=1),SUMPRODUCT(($A$2:$A402="Starter")*($F$2:$F402=1)),"")</f>
        <v/>
      </c>
      <c r="H402" t="str">
        <f>IF(AND($A402="Main",$F402=1),SUMPRODUCT(($A$2:$A402="Main")*($F$2:$F402=1)),"")</f>
        <v/>
      </c>
      <c r="I402" t="str">
        <f>IF(AND($A402="Dessert",$F402=1),SUMPRODUCT(($A$2:$A402="Dessert")*($F$2:$F402=1)),"")</f>
        <v/>
      </c>
      <c r="J402" t="str">
        <f>IF(AND($A402="Side",$F402=1),SUMPRODUCT(($A$2:$A402="Side")*($F$2:$F402=1)),"")</f>
        <v/>
      </c>
      <c r="K402" t="str">
        <f>IF(AND($A402="Drink",$F402=1),SUMPRODUCT(($A$2:$A402="Drink")*($F$2:$F402=1)),"")</f>
        <v/>
      </c>
      <c r="L402" t="str">
        <f>IF($F402=1,SUMPRODUCT(($F$2:$F402=1)*1),"")</f>
        <v/>
      </c>
    </row>
    <row r="403" spans="7:12">
      <c r="G403" t="str">
        <f>IF(AND($A403="Starter",$F403=1),SUMPRODUCT(($A$2:$A403="Starter")*($F$2:$F403=1)),"")</f>
        <v/>
      </c>
      <c r="H403" t="str">
        <f>IF(AND($A403="Main",$F403=1),SUMPRODUCT(($A$2:$A403="Main")*($F$2:$F403=1)),"")</f>
        <v/>
      </c>
      <c r="I403" t="str">
        <f>IF(AND($A403="Dessert",$F403=1),SUMPRODUCT(($A$2:$A403="Dessert")*($F$2:$F403=1)),"")</f>
        <v/>
      </c>
      <c r="J403" t="str">
        <f>IF(AND($A403="Side",$F403=1),SUMPRODUCT(($A$2:$A403="Side")*($F$2:$F403=1)),"")</f>
        <v/>
      </c>
      <c r="K403" t="str">
        <f>IF(AND($A403="Drink",$F403=1),SUMPRODUCT(($A$2:$A403="Drink")*($F$2:$F403=1)),"")</f>
        <v/>
      </c>
      <c r="L403" t="str">
        <f>IF($F403=1,SUMPRODUCT(($F$2:$F403=1)*1),"")</f>
        <v/>
      </c>
    </row>
    <row r="404" spans="7:12">
      <c r="G404" t="str">
        <f>IF(AND($A404="Starter",$F404=1),SUMPRODUCT(($A$2:$A404="Starter")*($F$2:$F404=1)),"")</f>
        <v/>
      </c>
      <c r="H404" t="str">
        <f>IF(AND($A404="Main",$F404=1),SUMPRODUCT(($A$2:$A404="Main")*($F$2:$F404=1)),"")</f>
        <v/>
      </c>
      <c r="I404" t="str">
        <f>IF(AND($A404="Dessert",$F404=1),SUMPRODUCT(($A$2:$A404="Dessert")*($F$2:$F404=1)),"")</f>
        <v/>
      </c>
      <c r="J404" t="str">
        <f>IF(AND($A404="Side",$F404=1),SUMPRODUCT(($A$2:$A404="Side")*($F$2:$F404=1)),"")</f>
        <v/>
      </c>
      <c r="K404" t="str">
        <f>IF(AND($A404="Drink",$F404=1),SUMPRODUCT(($A$2:$A404="Drink")*($F$2:$F404=1)),"")</f>
        <v/>
      </c>
      <c r="L404" t="str">
        <f>IF($F404=1,SUMPRODUCT(($F$2:$F404=1)*1),"")</f>
        <v/>
      </c>
    </row>
    <row r="405" spans="7:12">
      <c r="G405" t="str">
        <f>IF(AND($A405="Starter",$F405=1),SUMPRODUCT(($A$2:$A405="Starter")*($F$2:$F405=1)),"")</f>
        <v/>
      </c>
      <c r="H405" t="str">
        <f>IF(AND($A405="Main",$F405=1),SUMPRODUCT(($A$2:$A405="Main")*($F$2:$F405=1)),"")</f>
        <v/>
      </c>
      <c r="I405" t="str">
        <f>IF(AND($A405="Dessert",$F405=1),SUMPRODUCT(($A$2:$A405="Dessert")*($F$2:$F405=1)),"")</f>
        <v/>
      </c>
      <c r="J405" t="str">
        <f>IF(AND($A405="Side",$F405=1),SUMPRODUCT(($A$2:$A405="Side")*($F$2:$F405=1)),"")</f>
        <v/>
      </c>
      <c r="K405" t="str">
        <f>IF(AND($A405="Drink",$F405=1),SUMPRODUCT(($A$2:$A405="Drink")*($F$2:$F405=1)),"")</f>
        <v/>
      </c>
      <c r="L405" t="str">
        <f>IF($F405=1,SUMPRODUCT(($F$2:$F405=1)*1),"")</f>
        <v/>
      </c>
    </row>
    <row r="406" spans="7:12">
      <c r="G406" t="str">
        <f>IF(AND($A406="Starter",$F406=1),SUMPRODUCT(($A$2:$A406="Starter")*($F$2:$F406=1)),"")</f>
        <v/>
      </c>
      <c r="H406" t="str">
        <f>IF(AND($A406="Main",$F406=1),SUMPRODUCT(($A$2:$A406="Main")*($F$2:$F406=1)),"")</f>
        <v/>
      </c>
      <c r="I406" t="str">
        <f>IF(AND($A406="Dessert",$F406=1),SUMPRODUCT(($A$2:$A406="Dessert")*($F$2:$F406=1)),"")</f>
        <v/>
      </c>
      <c r="J406" t="str">
        <f>IF(AND($A406="Side",$F406=1),SUMPRODUCT(($A$2:$A406="Side")*($F$2:$F406=1)),"")</f>
        <v/>
      </c>
      <c r="K406" t="str">
        <f>IF(AND($A406="Drink",$F406=1),SUMPRODUCT(($A$2:$A406="Drink")*($F$2:$F406=1)),"")</f>
        <v/>
      </c>
      <c r="L406" t="str">
        <f>IF($F406=1,SUMPRODUCT(($F$2:$F406=1)*1),"")</f>
        <v/>
      </c>
    </row>
    <row r="407" spans="7:12">
      <c r="G407" t="str">
        <f>IF(AND($A407="Starter",$F407=1),SUMPRODUCT(($A$2:$A407="Starter")*($F$2:$F407=1)),"")</f>
        <v/>
      </c>
      <c r="H407" t="str">
        <f>IF(AND($A407="Main",$F407=1),SUMPRODUCT(($A$2:$A407="Main")*($F$2:$F407=1)),"")</f>
        <v/>
      </c>
      <c r="I407" t="str">
        <f>IF(AND($A407="Dessert",$F407=1),SUMPRODUCT(($A$2:$A407="Dessert")*($F$2:$F407=1)),"")</f>
        <v/>
      </c>
      <c r="J407" t="str">
        <f>IF(AND($A407="Side",$F407=1),SUMPRODUCT(($A$2:$A407="Side")*($F$2:$F407=1)),"")</f>
        <v/>
      </c>
      <c r="K407" t="str">
        <f>IF(AND($A407="Drink",$F407=1),SUMPRODUCT(($A$2:$A407="Drink")*($F$2:$F407=1)),"")</f>
        <v/>
      </c>
      <c r="L407" t="str">
        <f>IF($F407=1,SUMPRODUCT(($F$2:$F407=1)*1),"")</f>
        <v/>
      </c>
    </row>
    <row r="408" spans="7:12">
      <c r="G408" t="str">
        <f>IF(AND($A408="Starter",$F408=1),SUMPRODUCT(($A$2:$A408="Starter")*($F$2:$F408=1)),"")</f>
        <v/>
      </c>
      <c r="H408" t="str">
        <f>IF(AND($A408="Main",$F408=1),SUMPRODUCT(($A$2:$A408="Main")*($F$2:$F408=1)),"")</f>
        <v/>
      </c>
      <c r="I408" t="str">
        <f>IF(AND($A408="Dessert",$F408=1),SUMPRODUCT(($A$2:$A408="Dessert")*($F$2:$F408=1)),"")</f>
        <v/>
      </c>
      <c r="J408" t="str">
        <f>IF(AND($A408="Side",$F408=1),SUMPRODUCT(($A$2:$A408="Side")*($F$2:$F408=1)),"")</f>
        <v/>
      </c>
      <c r="K408" t="str">
        <f>IF(AND($A408="Drink",$F408=1),SUMPRODUCT(($A$2:$A408="Drink")*($F$2:$F408=1)),"")</f>
        <v/>
      </c>
      <c r="L408" t="str">
        <f>IF($F408=1,SUMPRODUCT(($F$2:$F408=1)*1),"")</f>
        <v/>
      </c>
    </row>
    <row r="409" spans="7:12">
      <c r="G409" t="str">
        <f>IF(AND($A409="Starter",$F409=1),SUMPRODUCT(($A$2:$A409="Starter")*($F$2:$F409=1)),"")</f>
        <v/>
      </c>
      <c r="H409" t="str">
        <f>IF(AND($A409="Main",$F409=1),SUMPRODUCT(($A$2:$A409="Main")*($F$2:$F409=1)),"")</f>
        <v/>
      </c>
      <c r="I409" t="str">
        <f>IF(AND($A409="Dessert",$F409=1),SUMPRODUCT(($A$2:$A409="Dessert")*($F$2:$F409=1)),"")</f>
        <v/>
      </c>
      <c r="J409" t="str">
        <f>IF(AND($A409="Side",$F409=1),SUMPRODUCT(($A$2:$A409="Side")*($F$2:$F409=1)),"")</f>
        <v/>
      </c>
      <c r="K409" t="str">
        <f>IF(AND($A409="Drink",$F409=1),SUMPRODUCT(($A$2:$A409="Drink")*($F$2:$F409=1)),"")</f>
        <v/>
      </c>
      <c r="L409" t="str">
        <f>IF($F409=1,SUMPRODUCT(($F$2:$F409=1)*1),"")</f>
        <v/>
      </c>
    </row>
    <row r="410" spans="7:12">
      <c r="G410" t="str">
        <f>IF(AND($A410="Starter",$F410=1),SUMPRODUCT(($A$2:$A410="Starter")*($F$2:$F410=1)),"")</f>
        <v/>
      </c>
      <c r="H410" t="str">
        <f>IF(AND($A410="Main",$F410=1),SUMPRODUCT(($A$2:$A410="Main")*($F$2:$F410=1)),"")</f>
        <v/>
      </c>
      <c r="I410" t="str">
        <f>IF(AND($A410="Dessert",$F410=1),SUMPRODUCT(($A$2:$A410="Dessert")*($F$2:$F410=1)),"")</f>
        <v/>
      </c>
      <c r="J410" t="str">
        <f>IF(AND($A410="Side",$F410=1),SUMPRODUCT(($A$2:$A410="Side")*($F$2:$F410=1)),"")</f>
        <v/>
      </c>
      <c r="K410" t="str">
        <f>IF(AND($A410="Drink",$F410=1),SUMPRODUCT(($A$2:$A410="Drink")*($F$2:$F410=1)),"")</f>
        <v/>
      </c>
      <c r="L410" t="str">
        <f>IF($F410=1,SUMPRODUCT(($F$2:$F410=1)*1),"")</f>
        <v/>
      </c>
    </row>
    <row r="411" spans="7:12">
      <c r="G411" t="str">
        <f>IF(AND($A411="Starter",$F411=1),SUMPRODUCT(($A$2:$A411="Starter")*($F$2:$F411=1)),"")</f>
        <v/>
      </c>
      <c r="H411" t="str">
        <f>IF(AND($A411="Main",$F411=1),SUMPRODUCT(($A$2:$A411="Main")*($F$2:$F411=1)),"")</f>
        <v/>
      </c>
      <c r="I411" t="str">
        <f>IF(AND($A411="Dessert",$F411=1),SUMPRODUCT(($A$2:$A411="Dessert")*($F$2:$F411=1)),"")</f>
        <v/>
      </c>
      <c r="J411" t="str">
        <f>IF(AND($A411="Side",$F411=1),SUMPRODUCT(($A$2:$A411="Side")*($F$2:$F411=1)),"")</f>
        <v/>
      </c>
      <c r="K411" t="str">
        <f>IF(AND($A411="Drink",$F411=1),SUMPRODUCT(($A$2:$A411="Drink")*($F$2:$F411=1)),"")</f>
        <v/>
      </c>
      <c r="L411" t="str">
        <f>IF($F411=1,SUMPRODUCT(($F$2:$F411=1)*1),"")</f>
        <v/>
      </c>
    </row>
    <row r="412" spans="7:12">
      <c r="G412" t="str">
        <f>IF(AND($A412="Starter",$F412=1),SUMPRODUCT(($A$2:$A412="Starter")*($F$2:$F412=1)),"")</f>
        <v/>
      </c>
      <c r="H412" t="str">
        <f>IF(AND($A412="Main",$F412=1),SUMPRODUCT(($A$2:$A412="Main")*($F$2:$F412=1)),"")</f>
        <v/>
      </c>
      <c r="I412" t="str">
        <f>IF(AND($A412="Dessert",$F412=1),SUMPRODUCT(($A$2:$A412="Dessert")*($F$2:$F412=1)),"")</f>
        <v/>
      </c>
      <c r="J412" t="str">
        <f>IF(AND($A412="Side",$F412=1),SUMPRODUCT(($A$2:$A412="Side")*($F$2:$F412=1)),"")</f>
        <v/>
      </c>
      <c r="K412" t="str">
        <f>IF(AND($A412="Drink",$F412=1),SUMPRODUCT(($A$2:$A412="Drink")*($F$2:$F412=1)),"")</f>
        <v/>
      </c>
      <c r="L412" t="str">
        <f>IF($F412=1,SUMPRODUCT(($F$2:$F412=1)*1),"")</f>
        <v/>
      </c>
    </row>
    <row r="413" spans="7:12">
      <c r="G413" t="str">
        <f>IF(AND($A413="Starter",$F413=1),SUMPRODUCT(($A$2:$A413="Starter")*($F$2:$F413=1)),"")</f>
        <v/>
      </c>
      <c r="H413" t="str">
        <f>IF(AND($A413="Main",$F413=1),SUMPRODUCT(($A$2:$A413="Main")*($F$2:$F413=1)),"")</f>
        <v/>
      </c>
      <c r="I413" t="str">
        <f>IF(AND($A413="Dessert",$F413=1),SUMPRODUCT(($A$2:$A413="Dessert")*($F$2:$F413=1)),"")</f>
        <v/>
      </c>
      <c r="J413" t="str">
        <f>IF(AND($A413="Side",$F413=1),SUMPRODUCT(($A$2:$A413="Side")*($F$2:$F413=1)),"")</f>
        <v/>
      </c>
      <c r="K413" t="str">
        <f>IF(AND($A413="Drink",$F413=1),SUMPRODUCT(($A$2:$A413="Drink")*($F$2:$F413=1)),"")</f>
        <v/>
      </c>
      <c r="L413" t="str">
        <f>IF($F413=1,SUMPRODUCT(($F$2:$F413=1)*1),"")</f>
        <v/>
      </c>
    </row>
    <row r="414" spans="7:12">
      <c r="G414" t="str">
        <f>IF(AND($A414="Starter",$F414=1),SUMPRODUCT(($A$2:$A414="Starter")*($F$2:$F414=1)),"")</f>
        <v/>
      </c>
      <c r="H414" t="str">
        <f>IF(AND($A414="Main",$F414=1),SUMPRODUCT(($A$2:$A414="Main")*($F$2:$F414=1)),"")</f>
        <v/>
      </c>
      <c r="I414" t="str">
        <f>IF(AND($A414="Dessert",$F414=1),SUMPRODUCT(($A$2:$A414="Dessert")*($F$2:$F414=1)),"")</f>
        <v/>
      </c>
      <c r="J414" t="str">
        <f>IF(AND($A414="Side",$F414=1),SUMPRODUCT(($A$2:$A414="Side")*($F$2:$F414=1)),"")</f>
        <v/>
      </c>
      <c r="K414" t="str">
        <f>IF(AND($A414="Drink",$F414=1),SUMPRODUCT(($A$2:$A414="Drink")*($F$2:$F414=1)),"")</f>
        <v/>
      </c>
      <c r="L414" t="str">
        <f>IF($F414=1,SUMPRODUCT(($F$2:$F414=1)*1),"")</f>
        <v/>
      </c>
    </row>
    <row r="415" spans="7:12">
      <c r="G415" t="str">
        <f>IF(AND($A415="Starter",$F415=1),SUMPRODUCT(($A$2:$A415="Starter")*($F$2:$F415=1)),"")</f>
        <v/>
      </c>
      <c r="H415" t="str">
        <f>IF(AND($A415="Main",$F415=1),SUMPRODUCT(($A$2:$A415="Main")*($F$2:$F415=1)),"")</f>
        <v/>
      </c>
      <c r="I415" t="str">
        <f>IF(AND($A415="Dessert",$F415=1),SUMPRODUCT(($A$2:$A415="Dessert")*($F$2:$F415=1)),"")</f>
        <v/>
      </c>
      <c r="J415" t="str">
        <f>IF(AND($A415="Side",$F415=1),SUMPRODUCT(($A$2:$A415="Side")*($F$2:$F415=1)),"")</f>
        <v/>
      </c>
      <c r="K415" t="str">
        <f>IF(AND($A415="Drink",$F415=1),SUMPRODUCT(($A$2:$A415="Drink")*($F$2:$F415=1)),"")</f>
        <v/>
      </c>
      <c r="L415" t="str">
        <f>IF($F415=1,SUMPRODUCT(($F$2:$F415=1)*1),"")</f>
        <v/>
      </c>
    </row>
    <row r="416" spans="7:12">
      <c r="G416" t="str">
        <f>IF(AND($A416="Starter",$F416=1),SUMPRODUCT(($A$2:$A416="Starter")*($F$2:$F416=1)),"")</f>
        <v/>
      </c>
      <c r="H416" t="str">
        <f>IF(AND($A416="Main",$F416=1),SUMPRODUCT(($A$2:$A416="Main")*($F$2:$F416=1)),"")</f>
        <v/>
      </c>
      <c r="I416" t="str">
        <f>IF(AND($A416="Dessert",$F416=1),SUMPRODUCT(($A$2:$A416="Dessert")*($F$2:$F416=1)),"")</f>
        <v/>
      </c>
      <c r="J416" t="str">
        <f>IF(AND($A416="Side",$F416=1),SUMPRODUCT(($A$2:$A416="Side")*($F$2:$F416=1)),"")</f>
        <v/>
      </c>
      <c r="K416" t="str">
        <f>IF(AND($A416="Drink",$F416=1),SUMPRODUCT(($A$2:$A416="Drink")*($F$2:$F416=1)),"")</f>
        <v/>
      </c>
      <c r="L416" t="str">
        <f>IF($F416=1,SUMPRODUCT(($F$2:$F416=1)*1),"")</f>
        <v/>
      </c>
    </row>
    <row r="417" spans="7:12">
      <c r="G417" t="str">
        <f>IF(AND($A417="Starter",$F417=1),SUMPRODUCT(($A$2:$A417="Starter")*($F$2:$F417=1)),"")</f>
        <v/>
      </c>
      <c r="H417" t="str">
        <f>IF(AND($A417="Main",$F417=1),SUMPRODUCT(($A$2:$A417="Main")*($F$2:$F417=1)),"")</f>
        <v/>
      </c>
      <c r="I417" t="str">
        <f>IF(AND($A417="Dessert",$F417=1),SUMPRODUCT(($A$2:$A417="Dessert")*($F$2:$F417=1)),"")</f>
        <v/>
      </c>
      <c r="J417" t="str">
        <f>IF(AND($A417="Side",$F417=1),SUMPRODUCT(($A$2:$A417="Side")*($F$2:$F417=1)),"")</f>
        <v/>
      </c>
      <c r="K417" t="str">
        <f>IF(AND($A417="Drink",$F417=1),SUMPRODUCT(($A$2:$A417="Drink")*($F$2:$F417=1)),"")</f>
        <v/>
      </c>
      <c r="L417" t="str">
        <f>IF($F417=1,SUMPRODUCT(($F$2:$F417=1)*1),"")</f>
        <v/>
      </c>
    </row>
    <row r="418" spans="7:12">
      <c r="G418" t="str">
        <f>IF(AND($A418="Starter",$F418=1),SUMPRODUCT(($A$2:$A418="Starter")*($F$2:$F418=1)),"")</f>
        <v/>
      </c>
      <c r="H418" t="str">
        <f>IF(AND($A418="Main",$F418=1),SUMPRODUCT(($A$2:$A418="Main")*($F$2:$F418=1)),"")</f>
        <v/>
      </c>
      <c r="I418" t="str">
        <f>IF(AND($A418="Dessert",$F418=1),SUMPRODUCT(($A$2:$A418="Dessert")*($F$2:$F418=1)),"")</f>
        <v/>
      </c>
      <c r="J418" t="str">
        <f>IF(AND($A418="Side",$F418=1),SUMPRODUCT(($A$2:$A418="Side")*($F$2:$F418=1)),"")</f>
        <v/>
      </c>
      <c r="K418" t="str">
        <f>IF(AND($A418="Drink",$F418=1),SUMPRODUCT(($A$2:$A418="Drink")*($F$2:$F418=1)),"")</f>
        <v/>
      </c>
      <c r="L418" t="str">
        <f>IF($F418=1,SUMPRODUCT(($F$2:$F418=1)*1),"")</f>
        <v/>
      </c>
    </row>
    <row r="419" spans="7:12">
      <c r="G419" t="str">
        <f>IF(AND($A419="Starter",$F419=1),SUMPRODUCT(($A$2:$A419="Starter")*($F$2:$F419=1)),"")</f>
        <v/>
      </c>
      <c r="H419" t="str">
        <f>IF(AND($A419="Main",$F419=1),SUMPRODUCT(($A$2:$A419="Main")*($F$2:$F419=1)),"")</f>
        <v/>
      </c>
      <c r="I419" t="str">
        <f>IF(AND($A419="Dessert",$F419=1),SUMPRODUCT(($A$2:$A419="Dessert")*($F$2:$F419=1)),"")</f>
        <v/>
      </c>
      <c r="J419" t="str">
        <f>IF(AND($A419="Side",$F419=1),SUMPRODUCT(($A$2:$A419="Side")*($F$2:$F419=1)),"")</f>
        <v/>
      </c>
      <c r="K419" t="str">
        <f>IF(AND($A419="Drink",$F419=1),SUMPRODUCT(($A$2:$A419="Drink")*($F$2:$F419=1)),"")</f>
        <v/>
      </c>
      <c r="L419" t="str">
        <f>IF($F419=1,SUMPRODUCT(($F$2:$F419=1)*1),"")</f>
        <v/>
      </c>
    </row>
    <row r="420" spans="7:12">
      <c r="G420" t="str">
        <f>IF(AND($A420="Starter",$F420=1),SUMPRODUCT(($A$2:$A420="Starter")*($F$2:$F420=1)),"")</f>
        <v/>
      </c>
      <c r="H420" t="str">
        <f>IF(AND($A420="Main",$F420=1),SUMPRODUCT(($A$2:$A420="Main")*($F$2:$F420=1)),"")</f>
        <v/>
      </c>
      <c r="I420" t="str">
        <f>IF(AND($A420="Dessert",$F420=1),SUMPRODUCT(($A$2:$A420="Dessert")*($F$2:$F420=1)),"")</f>
        <v/>
      </c>
      <c r="J420" t="str">
        <f>IF(AND($A420="Side",$F420=1),SUMPRODUCT(($A$2:$A420="Side")*($F$2:$F420=1)),"")</f>
        <v/>
      </c>
      <c r="K420" t="str">
        <f>IF(AND($A420="Drink",$F420=1),SUMPRODUCT(($A$2:$A420="Drink")*($F$2:$F420=1)),"")</f>
        <v/>
      </c>
      <c r="L420" t="str">
        <f>IF($F420=1,SUMPRODUCT(($F$2:$F420=1)*1),"")</f>
        <v/>
      </c>
    </row>
    <row r="421" spans="7:12">
      <c r="G421" t="str">
        <f>IF(AND($A421="Starter",$F421=1),SUMPRODUCT(($A$2:$A421="Starter")*($F$2:$F421=1)),"")</f>
        <v/>
      </c>
      <c r="H421" t="str">
        <f>IF(AND($A421="Main",$F421=1),SUMPRODUCT(($A$2:$A421="Main")*($F$2:$F421=1)),"")</f>
        <v/>
      </c>
      <c r="I421" t="str">
        <f>IF(AND($A421="Dessert",$F421=1),SUMPRODUCT(($A$2:$A421="Dessert")*($F$2:$F421=1)),"")</f>
        <v/>
      </c>
      <c r="J421" t="str">
        <f>IF(AND($A421="Side",$F421=1),SUMPRODUCT(($A$2:$A421="Side")*($F$2:$F421=1)),"")</f>
        <v/>
      </c>
      <c r="K421" t="str">
        <f>IF(AND($A421="Drink",$F421=1),SUMPRODUCT(($A$2:$A421="Drink")*($F$2:$F421=1)),"")</f>
        <v/>
      </c>
      <c r="L421" t="str">
        <f>IF($F421=1,SUMPRODUCT(($F$2:$F421=1)*1),"")</f>
        <v/>
      </c>
    </row>
    <row r="422" spans="7:12">
      <c r="G422" t="str">
        <f>IF(AND($A422="Starter",$F422=1),SUMPRODUCT(($A$2:$A422="Starter")*($F$2:$F422=1)),"")</f>
        <v/>
      </c>
      <c r="H422" t="str">
        <f>IF(AND($A422="Main",$F422=1),SUMPRODUCT(($A$2:$A422="Main")*($F$2:$F422=1)),"")</f>
        <v/>
      </c>
      <c r="I422" t="str">
        <f>IF(AND($A422="Dessert",$F422=1),SUMPRODUCT(($A$2:$A422="Dessert")*($F$2:$F422=1)),"")</f>
        <v/>
      </c>
      <c r="J422" t="str">
        <f>IF(AND($A422="Side",$F422=1),SUMPRODUCT(($A$2:$A422="Side")*($F$2:$F422=1)),"")</f>
        <v/>
      </c>
      <c r="K422" t="str">
        <f>IF(AND($A422="Drink",$F422=1),SUMPRODUCT(($A$2:$A422="Drink")*($F$2:$F422=1)),"")</f>
        <v/>
      </c>
      <c r="L422" t="str">
        <f>IF($F422=1,SUMPRODUCT(($F$2:$F422=1)*1),"")</f>
        <v/>
      </c>
    </row>
    <row r="423" spans="7:12">
      <c r="G423" t="str">
        <f>IF(AND($A423="Starter",$F423=1),SUMPRODUCT(($A$2:$A423="Starter")*($F$2:$F423=1)),"")</f>
        <v/>
      </c>
      <c r="H423" t="str">
        <f>IF(AND($A423="Main",$F423=1),SUMPRODUCT(($A$2:$A423="Main")*($F$2:$F423=1)),"")</f>
        <v/>
      </c>
      <c r="I423" t="str">
        <f>IF(AND($A423="Dessert",$F423=1),SUMPRODUCT(($A$2:$A423="Dessert")*($F$2:$F423=1)),"")</f>
        <v/>
      </c>
      <c r="J423" t="str">
        <f>IF(AND($A423="Side",$F423=1),SUMPRODUCT(($A$2:$A423="Side")*($F$2:$F423=1)),"")</f>
        <v/>
      </c>
      <c r="K423" t="str">
        <f>IF(AND($A423="Drink",$F423=1),SUMPRODUCT(($A$2:$A423="Drink")*($F$2:$F423=1)),"")</f>
        <v/>
      </c>
      <c r="L423" t="str">
        <f>IF($F423=1,SUMPRODUCT(($F$2:$F423=1)*1),"")</f>
        <v/>
      </c>
    </row>
    <row r="424" spans="7:12">
      <c r="G424" t="str">
        <f>IF(AND($A424="Starter",$F424=1),SUMPRODUCT(($A$2:$A424="Starter")*($F$2:$F424=1)),"")</f>
        <v/>
      </c>
      <c r="H424" t="str">
        <f>IF(AND($A424="Main",$F424=1),SUMPRODUCT(($A$2:$A424="Main")*($F$2:$F424=1)),"")</f>
        <v/>
      </c>
      <c r="I424" t="str">
        <f>IF(AND($A424="Dessert",$F424=1),SUMPRODUCT(($A$2:$A424="Dessert")*($F$2:$F424=1)),"")</f>
        <v/>
      </c>
      <c r="J424" t="str">
        <f>IF(AND($A424="Side",$F424=1),SUMPRODUCT(($A$2:$A424="Side")*($F$2:$F424=1)),"")</f>
        <v/>
      </c>
      <c r="K424" t="str">
        <f>IF(AND($A424="Drink",$F424=1),SUMPRODUCT(($A$2:$A424="Drink")*($F$2:$F424=1)),"")</f>
        <v/>
      </c>
      <c r="L424" t="str">
        <f>IF($F424=1,SUMPRODUCT(($F$2:$F424=1)*1),"")</f>
        <v/>
      </c>
    </row>
    <row r="425" spans="7:12">
      <c r="G425" t="str">
        <f>IF(AND($A425="Starter",$F425=1),SUMPRODUCT(($A$2:$A425="Starter")*($F$2:$F425=1)),"")</f>
        <v/>
      </c>
      <c r="H425" t="str">
        <f>IF(AND($A425="Main",$F425=1),SUMPRODUCT(($A$2:$A425="Main")*($F$2:$F425=1)),"")</f>
        <v/>
      </c>
      <c r="I425" t="str">
        <f>IF(AND($A425="Dessert",$F425=1),SUMPRODUCT(($A$2:$A425="Dessert")*($F$2:$F425=1)),"")</f>
        <v/>
      </c>
      <c r="J425" t="str">
        <f>IF(AND($A425="Side",$F425=1),SUMPRODUCT(($A$2:$A425="Side")*($F$2:$F425=1)),"")</f>
        <v/>
      </c>
      <c r="K425" t="str">
        <f>IF(AND($A425="Drink",$F425=1),SUMPRODUCT(($A$2:$A425="Drink")*($F$2:$F425=1)),"")</f>
        <v/>
      </c>
      <c r="L425" t="str">
        <f>IF($F425=1,SUMPRODUCT(($F$2:$F425=1)*1),"")</f>
        <v/>
      </c>
    </row>
    <row r="426" spans="7:12">
      <c r="G426" t="str">
        <f>IF(AND($A426="Starter",$F426=1),SUMPRODUCT(($A$2:$A426="Starter")*($F$2:$F426=1)),"")</f>
        <v/>
      </c>
      <c r="H426" t="str">
        <f>IF(AND($A426="Main",$F426=1),SUMPRODUCT(($A$2:$A426="Main")*($F$2:$F426=1)),"")</f>
        <v/>
      </c>
      <c r="I426" t="str">
        <f>IF(AND($A426="Dessert",$F426=1),SUMPRODUCT(($A$2:$A426="Dessert")*($F$2:$F426=1)),"")</f>
        <v/>
      </c>
      <c r="J426" t="str">
        <f>IF(AND($A426="Side",$F426=1),SUMPRODUCT(($A$2:$A426="Side")*($F$2:$F426=1)),"")</f>
        <v/>
      </c>
      <c r="K426" t="str">
        <f>IF(AND($A426="Drink",$F426=1),SUMPRODUCT(($A$2:$A426="Drink")*($F$2:$F426=1)),"")</f>
        <v/>
      </c>
      <c r="L426" t="str">
        <f>IF($F426=1,SUMPRODUCT(($F$2:$F426=1)*1),"")</f>
        <v/>
      </c>
    </row>
    <row r="427" spans="7:12">
      <c r="G427" t="str">
        <f>IF(AND($A427="Starter",$F427=1),SUMPRODUCT(($A$2:$A427="Starter")*($F$2:$F427=1)),"")</f>
        <v/>
      </c>
      <c r="H427" t="str">
        <f>IF(AND($A427="Main",$F427=1),SUMPRODUCT(($A$2:$A427="Main")*($F$2:$F427=1)),"")</f>
        <v/>
      </c>
      <c r="I427" t="str">
        <f>IF(AND($A427="Dessert",$F427=1),SUMPRODUCT(($A$2:$A427="Dessert")*($F$2:$F427=1)),"")</f>
        <v/>
      </c>
      <c r="J427" t="str">
        <f>IF(AND($A427="Side",$F427=1),SUMPRODUCT(($A$2:$A427="Side")*($F$2:$F427=1)),"")</f>
        <v/>
      </c>
      <c r="K427" t="str">
        <f>IF(AND($A427="Drink",$F427=1),SUMPRODUCT(($A$2:$A427="Drink")*($F$2:$F427=1)),"")</f>
        <v/>
      </c>
      <c r="L427" t="str">
        <f>IF($F427=1,SUMPRODUCT(($F$2:$F427=1)*1),"")</f>
        <v/>
      </c>
    </row>
    <row r="428" spans="7:12">
      <c r="G428" t="str">
        <f>IF(AND($A428="Starter",$F428=1),SUMPRODUCT(($A$2:$A428="Starter")*($F$2:$F428=1)),"")</f>
        <v/>
      </c>
      <c r="H428" t="str">
        <f>IF(AND($A428="Main",$F428=1),SUMPRODUCT(($A$2:$A428="Main")*($F$2:$F428=1)),"")</f>
        <v/>
      </c>
      <c r="I428" t="str">
        <f>IF(AND($A428="Dessert",$F428=1),SUMPRODUCT(($A$2:$A428="Dessert")*($F$2:$F428=1)),"")</f>
        <v/>
      </c>
      <c r="J428" t="str">
        <f>IF(AND($A428="Side",$F428=1),SUMPRODUCT(($A$2:$A428="Side")*($F$2:$F428=1)),"")</f>
        <v/>
      </c>
      <c r="K428" t="str">
        <f>IF(AND($A428="Drink",$F428=1),SUMPRODUCT(($A$2:$A428="Drink")*($F$2:$F428=1)),"")</f>
        <v/>
      </c>
      <c r="L428" t="str">
        <f>IF($F428=1,SUMPRODUCT(($F$2:$F428=1)*1),"")</f>
        <v/>
      </c>
    </row>
    <row r="429" spans="7:12">
      <c r="G429" t="str">
        <f>IF(AND($A429="Starter",$F429=1),SUMPRODUCT(($A$2:$A429="Starter")*($F$2:$F429=1)),"")</f>
        <v/>
      </c>
      <c r="H429" t="str">
        <f>IF(AND($A429="Main",$F429=1),SUMPRODUCT(($A$2:$A429="Main")*($F$2:$F429=1)),"")</f>
        <v/>
      </c>
      <c r="I429" t="str">
        <f>IF(AND($A429="Dessert",$F429=1),SUMPRODUCT(($A$2:$A429="Dessert")*($F$2:$F429=1)),"")</f>
        <v/>
      </c>
      <c r="J429" t="str">
        <f>IF(AND($A429="Side",$F429=1),SUMPRODUCT(($A$2:$A429="Side")*($F$2:$F429=1)),"")</f>
        <v/>
      </c>
      <c r="K429" t="str">
        <f>IF(AND($A429="Drink",$F429=1),SUMPRODUCT(($A$2:$A429="Drink")*($F$2:$F429=1)),"")</f>
        <v/>
      </c>
      <c r="L429" t="str">
        <f>IF($F429=1,SUMPRODUCT(($F$2:$F429=1)*1),"")</f>
        <v/>
      </c>
    </row>
    <row r="430" spans="7:12">
      <c r="G430" t="str">
        <f>IF(AND($A430="Starter",$F430=1),SUMPRODUCT(($A$2:$A430="Starter")*($F$2:$F430=1)),"")</f>
        <v/>
      </c>
      <c r="H430" t="str">
        <f>IF(AND($A430="Main",$F430=1),SUMPRODUCT(($A$2:$A430="Main")*($F$2:$F430=1)),"")</f>
        <v/>
      </c>
      <c r="I430" t="str">
        <f>IF(AND($A430="Dessert",$F430=1),SUMPRODUCT(($A$2:$A430="Dessert")*($F$2:$F430=1)),"")</f>
        <v/>
      </c>
      <c r="J430" t="str">
        <f>IF(AND($A430="Side",$F430=1),SUMPRODUCT(($A$2:$A430="Side")*($F$2:$F430=1)),"")</f>
        <v/>
      </c>
      <c r="K430" t="str">
        <f>IF(AND($A430="Drink",$F430=1),SUMPRODUCT(($A$2:$A430="Drink")*($F$2:$F430=1)),"")</f>
        <v/>
      </c>
      <c r="L430" t="str">
        <f>IF($F430=1,SUMPRODUCT(($F$2:$F430=1)*1),"")</f>
        <v/>
      </c>
    </row>
    <row r="431" spans="7:12">
      <c r="G431" t="str">
        <f>IF(AND($A431="Starter",$F431=1),SUMPRODUCT(($A$2:$A431="Starter")*($F$2:$F431=1)),"")</f>
        <v/>
      </c>
      <c r="H431" t="str">
        <f>IF(AND($A431="Main",$F431=1),SUMPRODUCT(($A$2:$A431="Main")*($F$2:$F431=1)),"")</f>
        <v/>
      </c>
      <c r="I431" t="str">
        <f>IF(AND($A431="Dessert",$F431=1),SUMPRODUCT(($A$2:$A431="Dessert")*($F$2:$F431=1)),"")</f>
        <v/>
      </c>
      <c r="J431" t="str">
        <f>IF(AND($A431="Side",$F431=1),SUMPRODUCT(($A$2:$A431="Side")*($F$2:$F431=1)),"")</f>
        <v/>
      </c>
      <c r="K431" t="str">
        <f>IF(AND($A431="Drink",$F431=1),SUMPRODUCT(($A$2:$A431="Drink")*($F$2:$F431=1)),"")</f>
        <v/>
      </c>
      <c r="L431" t="str">
        <f>IF($F431=1,SUMPRODUCT(($F$2:$F431=1)*1),"")</f>
        <v/>
      </c>
    </row>
    <row r="432" spans="7:12">
      <c r="G432" t="str">
        <f>IF(AND($A432="Starter",$F432=1),SUMPRODUCT(($A$2:$A432="Starter")*($F$2:$F432=1)),"")</f>
        <v/>
      </c>
      <c r="H432" t="str">
        <f>IF(AND($A432="Main",$F432=1),SUMPRODUCT(($A$2:$A432="Main")*($F$2:$F432=1)),"")</f>
        <v/>
      </c>
      <c r="I432" t="str">
        <f>IF(AND($A432="Dessert",$F432=1),SUMPRODUCT(($A$2:$A432="Dessert")*($F$2:$F432=1)),"")</f>
        <v/>
      </c>
      <c r="J432" t="str">
        <f>IF(AND($A432="Side",$F432=1),SUMPRODUCT(($A$2:$A432="Side")*($F$2:$F432=1)),"")</f>
        <v/>
      </c>
      <c r="K432" t="str">
        <f>IF(AND($A432="Drink",$F432=1),SUMPRODUCT(($A$2:$A432="Drink")*($F$2:$F432=1)),"")</f>
        <v/>
      </c>
      <c r="L432" t="str">
        <f>IF($F432=1,SUMPRODUCT(($F$2:$F432=1)*1),"")</f>
        <v/>
      </c>
    </row>
    <row r="433" spans="7:12">
      <c r="G433" t="str">
        <f>IF(AND($A433="Starter",$F433=1),SUMPRODUCT(($A$2:$A433="Starter")*($F$2:$F433=1)),"")</f>
        <v/>
      </c>
      <c r="H433" t="str">
        <f>IF(AND($A433="Main",$F433=1),SUMPRODUCT(($A$2:$A433="Main")*($F$2:$F433=1)),"")</f>
        <v/>
      </c>
      <c r="I433" t="str">
        <f>IF(AND($A433="Dessert",$F433=1),SUMPRODUCT(($A$2:$A433="Dessert")*($F$2:$F433=1)),"")</f>
        <v/>
      </c>
      <c r="J433" t="str">
        <f>IF(AND($A433="Side",$F433=1),SUMPRODUCT(($A$2:$A433="Side")*($F$2:$F433=1)),"")</f>
        <v/>
      </c>
      <c r="K433" t="str">
        <f>IF(AND($A433="Drink",$F433=1),SUMPRODUCT(($A$2:$A433="Drink")*($F$2:$F433=1)),"")</f>
        <v/>
      </c>
      <c r="L433" t="str">
        <f>IF($F433=1,SUMPRODUCT(($F$2:$F433=1)*1),"")</f>
        <v/>
      </c>
    </row>
    <row r="434" spans="7:12">
      <c r="G434" t="str">
        <f>IF(AND($A434="Starter",$F434=1),SUMPRODUCT(($A$2:$A434="Starter")*($F$2:$F434=1)),"")</f>
        <v/>
      </c>
      <c r="H434" t="str">
        <f>IF(AND($A434="Main",$F434=1),SUMPRODUCT(($A$2:$A434="Main")*($F$2:$F434=1)),"")</f>
        <v/>
      </c>
      <c r="I434" t="str">
        <f>IF(AND($A434="Dessert",$F434=1),SUMPRODUCT(($A$2:$A434="Dessert")*($F$2:$F434=1)),"")</f>
        <v/>
      </c>
      <c r="J434" t="str">
        <f>IF(AND($A434="Side",$F434=1),SUMPRODUCT(($A$2:$A434="Side")*($F$2:$F434=1)),"")</f>
        <v/>
      </c>
      <c r="K434" t="str">
        <f>IF(AND($A434="Drink",$F434=1),SUMPRODUCT(($A$2:$A434="Drink")*($F$2:$F434=1)),"")</f>
        <v/>
      </c>
      <c r="L434" t="str">
        <f>IF($F434=1,SUMPRODUCT(($F$2:$F434=1)*1),"")</f>
        <v/>
      </c>
    </row>
    <row r="435" spans="7:12">
      <c r="G435" t="str">
        <f>IF(AND($A435="Starter",$F435=1),SUMPRODUCT(($A$2:$A435="Starter")*($F$2:$F435=1)),"")</f>
        <v/>
      </c>
      <c r="H435" t="str">
        <f>IF(AND($A435="Main",$F435=1),SUMPRODUCT(($A$2:$A435="Main")*($F$2:$F435=1)),"")</f>
        <v/>
      </c>
      <c r="I435" t="str">
        <f>IF(AND($A435="Dessert",$F435=1),SUMPRODUCT(($A$2:$A435="Dessert")*($F$2:$F435=1)),"")</f>
        <v/>
      </c>
      <c r="J435" t="str">
        <f>IF(AND($A435="Side",$F435=1),SUMPRODUCT(($A$2:$A435="Side")*($F$2:$F435=1)),"")</f>
        <v/>
      </c>
      <c r="K435" t="str">
        <f>IF(AND($A435="Drink",$F435=1),SUMPRODUCT(($A$2:$A435="Drink")*($F$2:$F435=1)),"")</f>
        <v/>
      </c>
      <c r="L435" t="str">
        <f>IF($F435=1,SUMPRODUCT(($F$2:$F435=1)*1),"")</f>
        <v/>
      </c>
    </row>
    <row r="436" spans="7:12">
      <c r="G436" t="str">
        <f>IF(AND($A436="Starter",$F436=1),SUMPRODUCT(($A$2:$A436="Starter")*($F$2:$F436=1)),"")</f>
        <v/>
      </c>
      <c r="H436" t="str">
        <f>IF(AND($A436="Main",$F436=1),SUMPRODUCT(($A$2:$A436="Main")*($F$2:$F436=1)),"")</f>
        <v/>
      </c>
      <c r="I436" t="str">
        <f>IF(AND($A436="Dessert",$F436=1),SUMPRODUCT(($A$2:$A436="Dessert")*($F$2:$F436=1)),"")</f>
        <v/>
      </c>
      <c r="J436" t="str">
        <f>IF(AND($A436="Side",$F436=1),SUMPRODUCT(($A$2:$A436="Side")*($F$2:$F436=1)),"")</f>
        <v/>
      </c>
      <c r="K436" t="str">
        <f>IF(AND($A436="Drink",$F436=1),SUMPRODUCT(($A$2:$A436="Drink")*($F$2:$F436=1)),"")</f>
        <v/>
      </c>
      <c r="L436" t="str">
        <f>IF($F436=1,SUMPRODUCT(($F$2:$F436=1)*1),"")</f>
        <v/>
      </c>
    </row>
    <row r="437" spans="7:12">
      <c r="G437" t="str">
        <f>IF(AND($A437="Starter",$F437=1),SUMPRODUCT(($A$2:$A437="Starter")*($F$2:$F437=1)),"")</f>
        <v/>
      </c>
      <c r="H437" t="str">
        <f>IF(AND($A437="Main",$F437=1),SUMPRODUCT(($A$2:$A437="Main")*($F$2:$F437=1)),"")</f>
        <v/>
      </c>
      <c r="I437" t="str">
        <f>IF(AND($A437="Dessert",$F437=1),SUMPRODUCT(($A$2:$A437="Dessert")*($F$2:$F437=1)),"")</f>
        <v/>
      </c>
      <c r="J437" t="str">
        <f>IF(AND($A437="Side",$F437=1),SUMPRODUCT(($A$2:$A437="Side")*($F$2:$F437=1)),"")</f>
        <v/>
      </c>
      <c r="K437" t="str">
        <f>IF(AND($A437="Drink",$F437=1),SUMPRODUCT(($A$2:$A437="Drink")*($F$2:$F437=1)),"")</f>
        <v/>
      </c>
      <c r="L437" t="str">
        <f>IF($F437=1,SUMPRODUCT(($F$2:$F437=1)*1),"")</f>
        <v/>
      </c>
    </row>
    <row r="438" spans="7:12">
      <c r="G438" t="str">
        <f>IF(AND($A438="Starter",$F438=1),SUMPRODUCT(($A$2:$A438="Starter")*($F$2:$F438=1)),"")</f>
        <v/>
      </c>
      <c r="H438" t="str">
        <f>IF(AND($A438="Main",$F438=1),SUMPRODUCT(($A$2:$A438="Main")*($F$2:$F438=1)),"")</f>
        <v/>
      </c>
      <c r="I438" t="str">
        <f>IF(AND($A438="Dessert",$F438=1),SUMPRODUCT(($A$2:$A438="Dessert")*($F$2:$F438=1)),"")</f>
        <v/>
      </c>
      <c r="J438" t="str">
        <f>IF(AND($A438="Side",$F438=1),SUMPRODUCT(($A$2:$A438="Side")*($F$2:$F438=1)),"")</f>
        <v/>
      </c>
      <c r="K438" t="str">
        <f>IF(AND($A438="Drink",$F438=1),SUMPRODUCT(($A$2:$A438="Drink")*($F$2:$F438=1)),"")</f>
        <v/>
      </c>
      <c r="L438" t="str">
        <f>IF($F438=1,SUMPRODUCT(($F$2:$F438=1)*1),"")</f>
        <v/>
      </c>
    </row>
    <row r="439" spans="7:12">
      <c r="G439" t="str">
        <f>IF(AND($A439="Starter",$F439=1),SUMPRODUCT(($A$2:$A439="Starter")*($F$2:$F439=1)),"")</f>
        <v/>
      </c>
      <c r="H439" t="str">
        <f>IF(AND($A439="Main",$F439=1),SUMPRODUCT(($A$2:$A439="Main")*($F$2:$F439=1)),"")</f>
        <v/>
      </c>
      <c r="I439" t="str">
        <f>IF(AND($A439="Dessert",$F439=1),SUMPRODUCT(($A$2:$A439="Dessert")*($F$2:$F439=1)),"")</f>
        <v/>
      </c>
      <c r="J439" t="str">
        <f>IF(AND($A439="Side",$F439=1),SUMPRODUCT(($A$2:$A439="Side")*($F$2:$F439=1)),"")</f>
        <v/>
      </c>
      <c r="K439" t="str">
        <f>IF(AND($A439="Drink",$F439=1),SUMPRODUCT(($A$2:$A439="Drink")*($F$2:$F439=1)),"")</f>
        <v/>
      </c>
      <c r="L439" t="str">
        <f>IF($F439=1,SUMPRODUCT(($F$2:$F439=1)*1),"")</f>
        <v/>
      </c>
    </row>
    <row r="440" spans="7:12">
      <c r="G440" t="str">
        <f>IF(AND($A440="Starter",$F440=1),SUMPRODUCT(($A$2:$A440="Starter")*($F$2:$F440=1)),"")</f>
        <v/>
      </c>
      <c r="H440" t="str">
        <f>IF(AND($A440="Main",$F440=1),SUMPRODUCT(($A$2:$A440="Main")*($F$2:$F440=1)),"")</f>
        <v/>
      </c>
      <c r="I440" t="str">
        <f>IF(AND($A440="Dessert",$F440=1),SUMPRODUCT(($A$2:$A440="Dessert")*($F$2:$F440=1)),"")</f>
        <v/>
      </c>
      <c r="J440" t="str">
        <f>IF(AND($A440="Side",$F440=1),SUMPRODUCT(($A$2:$A440="Side")*($F$2:$F440=1)),"")</f>
        <v/>
      </c>
      <c r="K440" t="str">
        <f>IF(AND($A440="Drink",$F440=1),SUMPRODUCT(($A$2:$A440="Drink")*($F$2:$F440=1)),"")</f>
        <v/>
      </c>
      <c r="L440" t="str">
        <f>IF($F440=1,SUMPRODUCT(($F$2:$F440=1)*1),"")</f>
        <v/>
      </c>
    </row>
    <row r="441" spans="7:12">
      <c r="G441" t="str">
        <f>IF(AND($A441="Starter",$F441=1),SUMPRODUCT(($A$2:$A441="Starter")*($F$2:$F441=1)),"")</f>
        <v/>
      </c>
      <c r="H441" t="str">
        <f>IF(AND($A441="Main",$F441=1),SUMPRODUCT(($A$2:$A441="Main")*($F$2:$F441=1)),"")</f>
        <v/>
      </c>
      <c r="I441" t="str">
        <f>IF(AND($A441="Dessert",$F441=1),SUMPRODUCT(($A$2:$A441="Dessert")*($F$2:$F441=1)),"")</f>
        <v/>
      </c>
      <c r="J441" t="str">
        <f>IF(AND($A441="Side",$F441=1),SUMPRODUCT(($A$2:$A441="Side")*($F$2:$F441=1)),"")</f>
        <v/>
      </c>
      <c r="K441" t="str">
        <f>IF(AND($A441="Drink",$F441=1),SUMPRODUCT(($A$2:$A441="Drink")*($F$2:$F441=1)),"")</f>
        <v/>
      </c>
      <c r="L441" t="str">
        <f>IF($F441=1,SUMPRODUCT(($F$2:$F441=1)*1),"")</f>
        <v/>
      </c>
    </row>
    <row r="442" spans="7:12">
      <c r="G442" t="str">
        <f>IF(AND($A442="Starter",$F442=1),SUMPRODUCT(($A$2:$A442="Starter")*($F$2:$F442=1)),"")</f>
        <v/>
      </c>
      <c r="H442" t="str">
        <f>IF(AND($A442="Main",$F442=1),SUMPRODUCT(($A$2:$A442="Main")*($F$2:$F442=1)),"")</f>
        <v/>
      </c>
      <c r="I442" t="str">
        <f>IF(AND($A442="Dessert",$F442=1),SUMPRODUCT(($A$2:$A442="Dessert")*($F$2:$F442=1)),"")</f>
        <v/>
      </c>
      <c r="J442" t="str">
        <f>IF(AND($A442="Side",$F442=1),SUMPRODUCT(($A$2:$A442="Side")*($F$2:$F442=1)),"")</f>
        <v/>
      </c>
      <c r="K442" t="str">
        <f>IF(AND($A442="Drink",$F442=1),SUMPRODUCT(($A$2:$A442="Drink")*($F$2:$F442=1)),"")</f>
        <v/>
      </c>
      <c r="L442" t="str">
        <f>IF($F442=1,SUMPRODUCT(($F$2:$F442=1)*1),"")</f>
        <v/>
      </c>
    </row>
    <row r="443" spans="7:12">
      <c r="G443" t="str">
        <f>IF(AND($A443="Starter",$F443=1),SUMPRODUCT(($A$2:$A443="Starter")*($F$2:$F443=1)),"")</f>
        <v/>
      </c>
      <c r="H443" t="str">
        <f>IF(AND($A443="Main",$F443=1),SUMPRODUCT(($A$2:$A443="Main")*($F$2:$F443=1)),"")</f>
        <v/>
      </c>
      <c r="I443" t="str">
        <f>IF(AND($A443="Dessert",$F443=1),SUMPRODUCT(($A$2:$A443="Dessert")*($F$2:$F443=1)),"")</f>
        <v/>
      </c>
      <c r="J443" t="str">
        <f>IF(AND($A443="Side",$F443=1),SUMPRODUCT(($A$2:$A443="Side")*($F$2:$F443=1)),"")</f>
        <v/>
      </c>
      <c r="K443" t="str">
        <f>IF(AND($A443="Drink",$F443=1),SUMPRODUCT(($A$2:$A443="Drink")*($F$2:$F443=1)),"")</f>
        <v/>
      </c>
      <c r="L443" t="str">
        <f>IF($F443=1,SUMPRODUCT(($F$2:$F443=1)*1),"")</f>
        <v/>
      </c>
    </row>
    <row r="444" spans="7:12">
      <c r="G444" t="str">
        <f>IF(AND($A444="Starter",$F444=1),SUMPRODUCT(($A$2:$A444="Starter")*($F$2:$F444=1)),"")</f>
        <v/>
      </c>
      <c r="H444" t="str">
        <f>IF(AND($A444="Main",$F444=1),SUMPRODUCT(($A$2:$A444="Main")*($F$2:$F444=1)),"")</f>
        <v/>
      </c>
      <c r="I444" t="str">
        <f>IF(AND($A444="Dessert",$F444=1),SUMPRODUCT(($A$2:$A444="Dessert")*($F$2:$F444=1)),"")</f>
        <v/>
      </c>
      <c r="J444" t="str">
        <f>IF(AND($A444="Side",$F444=1),SUMPRODUCT(($A$2:$A444="Side")*($F$2:$F444=1)),"")</f>
        <v/>
      </c>
      <c r="K444" t="str">
        <f>IF(AND($A444="Drink",$F444=1),SUMPRODUCT(($A$2:$A444="Drink")*($F$2:$F444=1)),"")</f>
        <v/>
      </c>
      <c r="L444" t="str">
        <f>IF($F444=1,SUMPRODUCT(($F$2:$F444=1)*1),"")</f>
        <v/>
      </c>
    </row>
    <row r="445" spans="7:12">
      <c r="G445" t="str">
        <f>IF(AND($A445="Starter",$F445=1),SUMPRODUCT(($A$2:$A445="Starter")*($F$2:$F445=1)),"")</f>
        <v/>
      </c>
      <c r="H445" t="str">
        <f>IF(AND($A445="Main",$F445=1),SUMPRODUCT(($A$2:$A445="Main")*($F$2:$F445=1)),"")</f>
        <v/>
      </c>
      <c r="I445" t="str">
        <f>IF(AND($A445="Dessert",$F445=1),SUMPRODUCT(($A$2:$A445="Dessert")*($F$2:$F445=1)),"")</f>
        <v/>
      </c>
      <c r="J445" t="str">
        <f>IF(AND($A445="Side",$F445=1),SUMPRODUCT(($A$2:$A445="Side")*($F$2:$F445=1)),"")</f>
        <v/>
      </c>
      <c r="K445" t="str">
        <f>IF(AND($A445="Drink",$F445=1),SUMPRODUCT(($A$2:$A445="Drink")*($F$2:$F445=1)),"")</f>
        <v/>
      </c>
      <c r="L445" t="str">
        <f>IF($F445=1,SUMPRODUCT(($F$2:$F445=1)*1),"")</f>
        <v/>
      </c>
    </row>
    <row r="446" spans="7:12">
      <c r="G446" t="str">
        <f>IF(AND($A446="Starter",$F446=1),SUMPRODUCT(($A$2:$A446="Starter")*($F$2:$F446=1)),"")</f>
        <v/>
      </c>
      <c r="H446" t="str">
        <f>IF(AND($A446="Main",$F446=1),SUMPRODUCT(($A$2:$A446="Main")*($F$2:$F446=1)),"")</f>
        <v/>
      </c>
      <c r="I446" t="str">
        <f>IF(AND($A446="Dessert",$F446=1),SUMPRODUCT(($A$2:$A446="Dessert")*($F$2:$F446=1)),"")</f>
        <v/>
      </c>
      <c r="J446" t="str">
        <f>IF(AND($A446="Side",$F446=1),SUMPRODUCT(($A$2:$A446="Side")*($F$2:$F446=1)),"")</f>
        <v/>
      </c>
      <c r="K446" t="str">
        <f>IF(AND($A446="Drink",$F446=1),SUMPRODUCT(($A$2:$A446="Drink")*($F$2:$F446=1)),"")</f>
        <v/>
      </c>
      <c r="L446" t="str">
        <f>IF($F446=1,SUMPRODUCT(($F$2:$F446=1)*1),"")</f>
        <v/>
      </c>
    </row>
    <row r="447" spans="7:12">
      <c r="G447" t="str">
        <f>IF(AND($A447="Starter",$F447=1),SUMPRODUCT(($A$2:$A447="Starter")*($F$2:$F447=1)),"")</f>
        <v/>
      </c>
      <c r="H447" t="str">
        <f>IF(AND($A447="Main",$F447=1),SUMPRODUCT(($A$2:$A447="Main")*($F$2:$F447=1)),"")</f>
        <v/>
      </c>
      <c r="I447" t="str">
        <f>IF(AND($A447="Dessert",$F447=1),SUMPRODUCT(($A$2:$A447="Dessert")*($F$2:$F447=1)),"")</f>
        <v/>
      </c>
      <c r="J447" t="str">
        <f>IF(AND($A447="Side",$F447=1),SUMPRODUCT(($A$2:$A447="Side")*($F$2:$F447=1)),"")</f>
        <v/>
      </c>
      <c r="K447" t="str">
        <f>IF(AND($A447="Drink",$F447=1),SUMPRODUCT(($A$2:$A447="Drink")*($F$2:$F447=1)),"")</f>
        <v/>
      </c>
      <c r="L447" t="str">
        <f>IF($F447=1,SUMPRODUCT(($F$2:$F447=1)*1),"")</f>
        <v/>
      </c>
    </row>
    <row r="448" spans="7:12">
      <c r="G448" t="str">
        <f>IF(AND($A448="Starter",$F448=1),SUMPRODUCT(($A$2:$A448="Starter")*($F$2:$F448=1)),"")</f>
        <v/>
      </c>
      <c r="H448" t="str">
        <f>IF(AND($A448="Main",$F448=1),SUMPRODUCT(($A$2:$A448="Main")*($F$2:$F448=1)),"")</f>
        <v/>
      </c>
      <c r="I448" t="str">
        <f>IF(AND($A448="Dessert",$F448=1),SUMPRODUCT(($A$2:$A448="Dessert")*($F$2:$F448=1)),"")</f>
        <v/>
      </c>
      <c r="J448" t="str">
        <f>IF(AND($A448="Side",$F448=1),SUMPRODUCT(($A$2:$A448="Side")*($F$2:$F448=1)),"")</f>
        <v/>
      </c>
      <c r="K448" t="str">
        <f>IF(AND($A448="Drink",$F448=1),SUMPRODUCT(($A$2:$A448="Drink")*($F$2:$F448=1)),"")</f>
        <v/>
      </c>
      <c r="L448" t="str">
        <f>IF($F448=1,SUMPRODUCT(($F$2:$F448=1)*1),"")</f>
        <v/>
      </c>
    </row>
    <row r="449" spans="7:12">
      <c r="G449" t="str">
        <f>IF(AND($A449="Starter",$F449=1),SUMPRODUCT(($A$2:$A449="Starter")*($F$2:$F449=1)),"")</f>
        <v/>
      </c>
      <c r="H449" t="str">
        <f>IF(AND($A449="Main",$F449=1),SUMPRODUCT(($A$2:$A449="Main")*($F$2:$F449=1)),"")</f>
        <v/>
      </c>
      <c r="I449" t="str">
        <f>IF(AND($A449="Dessert",$F449=1),SUMPRODUCT(($A$2:$A449="Dessert")*($F$2:$F449=1)),"")</f>
        <v/>
      </c>
      <c r="J449" t="str">
        <f>IF(AND($A449="Side",$F449=1),SUMPRODUCT(($A$2:$A449="Side")*($F$2:$F449=1)),"")</f>
        <v/>
      </c>
      <c r="K449" t="str">
        <f>IF(AND($A449="Drink",$F449=1),SUMPRODUCT(($A$2:$A449="Drink")*($F$2:$F449=1)),"")</f>
        <v/>
      </c>
      <c r="L449" t="str">
        <f>IF($F449=1,SUMPRODUCT(($F$2:$F449=1)*1),"")</f>
        <v/>
      </c>
    </row>
    <row r="450" spans="7:12">
      <c r="G450" t="str">
        <f>IF(AND($A450="Starter",$F450=1),SUMPRODUCT(($A$2:$A450="Starter")*($F$2:$F450=1)),"")</f>
        <v/>
      </c>
      <c r="H450" t="str">
        <f>IF(AND($A450="Main",$F450=1),SUMPRODUCT(($A$2:$A450="Main")*($F$2:$F450=1)),"")</f>
        <v/>
      </c>
      <c r="I450" t="str">
        <f>IF(AND($A450="Dessert",$F450=1),SUMPRODUCT(($A$2:$A450="Dessert")*($F$2:$F450=1)),"")</f>
        <v/>
      </c>
      <c r="J450" t="str">
        <f>IF(AND($A450="Side",$F450=1),SUMPRODUCT(($A$2:$A450="Side")*($F$2:$F450=1)),"")</f>
        <v/>
      </c>
      <c r="K450" t="str">
        <f>IF(AND($A450="Drink",$F450=1),SUMPRODUCT(($A$2:$A450="Drink")*($F$2:$F450=1)),"")</f>
        <v/>
      </c>
      <c r="L450" t="str">
        <f>IF($F450=1,SUMPRODUCT(($F$2:$F450=1)*1),"")</f>
        <v/>
      </c>
    </row>
    <row r="451" spans="7:12">
      <c r="G451" t="str">
        <f>IF(AND($A451="Starter",$F451=1),SUMPRODUCT(($A$2:$A451="Starter")*($F$2:$F451=1)),"")</f>
        <v/>
      </c>
      <c r="H451" t="str">
        <f>IF(AND($A451="Main",$F451=1),SUMPRODUCT(($A$2:$A451="Main")*($F$2:$F451=1)),"")</f>
        <v/>
      </c>
      <c r="I451" t="str">
        <f>IF(AND($A451="Dessert",$F451=1),SUMPRODUCT(($A$2:$A451="Dessert")*($F$2:$F451=1)),"")</f>
        <v/>
      </c>
      <c r="J451" t="str">
        <f>IF(AND($A451="Side",$F451=1),SUMPRODUCT(($A$2:$A451="Side")*($F$2:$F451=1)),"")</f>
        <v/>
      </c>
      <c r="K451" t="str">
        <f>IF(AND($A451="Drink",$F451=1),SUMPRODUCT(($A$2:$A451="Drink")*($F$2:$F451=1)),"")</f>
        <v/>
      </c>
      <c r="L451" t="str">
        <f>IF($F451=1,SUMPRODUCT(($F$2:$F451=1)*1),"")</f>
        <v/>
      </c>
    </row>
    <row r="452" spans="7:12">
      <c r="G452" t="str">
        <f>IF(AND($A452="Starter",$F452=1),SUMPRODUCT(($A$2:$A452="Starter")*($F$2:$F452=1)),"")</f>
        <v/>
      </c>
      <c r="H452" t="str">
        <f>IF(AND($A452="Main",$F452=1),SUMPRODUCT(($A$2:$A452="Main")*($F$2:$F452=1)),"")</f>
        <v/>
      </c>
      <c r="I452" t="str">
        <f>IF(AND($A452="Dessert",$F452=1),SUMPRODUCT(($A$2:$A452="Dessert")*($F$2:$F452=1)),"")</f>
        <v/>
      </c>
      <c r="J452" t="str">
        <f>IF(AND($A452="Side",$F452=1),SUMPRODUCT(($A$2:$A452="Side")*($F$2:$F452=1)),"")</f>
        <v/>
      </c>
      <c r="K452" t="str">
        <f>IF(AND($A452="Drink",$F452=1),SUMPRODUCT(($A$2:$A452="Drink")*($F$2:$F452=1)),"")</f>
        <v/>
      </c>
      <c r="L452" t="str">
        <f>IF($F452=1,SUMPRODUCT(($F$2:$F452=1)*1),"")</f>
        <v/>
      </c>
    </row>
    <row r="453" spans="7:12">
      <c r="G453" t="str">
        <f>IF(AND($A453="Starter",$F453=1),SUMPRODUCT(($A$2:$A453="Starter")*($F$2:$F453=1)),"")</f>
        <v/>
      </c>
      <c r="H453" t="str">
        <f>IF(AND($A453="Main",$F453=1),SUMPRODUCT(($A$2:$A453="Main")*($F$2:$F453=1)),"")</f>
        <v/>
      </c>
      <c r="I453" t="str">
        <f>IF(AND($A453="Dessert",$F453=1),SUMPRODUCT(($A$2:$A453="Dessert")*($F$2:$F453=1)),"")</f>
        <v/>
      </c>
      <c r="J453" t="str">
        <f>IF(AND($A453="Side",$F453=1),SUMPRODUCT(($A$2:$A453="Side")*($F$2:$F453=1)),"")</f>
        <v/>
      </c>
      <c r="K453" t="str">
        <f>IF(AND($A453="Drink",$F453=1),SUMPRODUCT(($A$2:$A453="Drink")*($F$2:$F453=1)),"")</f>
        <v/>
      </c>
      <c r="L453" t="str">
        <f>IF($F453=1,SUMPRODUCT(($F$2:$F453=1)*1),"")</f>
        <v/>
      </c>
    </row>
    <row r="454" spans="7:12">
      <c r="G454" t="str">
        <f>IF(AND($A454="Starter",$F454=1),SUMPRODUCT(($A$2:$A454="Starter")*($F$2:$F454=1)),"")</f>
        <v/>
      </c>
      <c r="H454" t="str">
        <f>IF(AND($A454="Main",$F454=1),SUMPRODUCT(($A$2:$A454="Main")*($F$2:$F454=1)),"")</f>
        <v/>
      </c>
      <c r="I454" t="str">
        <f>IF(AND($A454="Dessert",$F454=1),SUMPRODUCT(($A$2:$A454="Dessert")*($F$2:$F454=1)),"")</f>
        <v/>
      </c>
      <c r="J454" t="str">
        <f>IF(AND($A454="Side",$F454=1),SUMPRODUCT(($A$2:$A454="Side")*($F$2:$F454=1)),"")</f>
        <v/>
      </c>
      <c r="K454" t="str">
        <f>IF(AND($A454="Drink",$F454=1),SUMPRODUCT(($A$2:$A454="Drink")*($F$2:$F454=1)),"")</f>
        <v/>
      </c>
      <c r="L454" t="str">
        <f>IF($F454=1,SUMPRODUCT(($F$2:$F454=1)*1),"")</f>
        <v/>
      </c>
    </row>
    <row r="455" spans="7:12">
      <c r="G455" t="str">
        <f>IF(AND($A455="Starter",$F455=1),SUMPRODUCT(($A$2:$A455="Starter")*($F$2:$F455=1)),"")</f>
        <v/>
      </c>
      <c r="H455" t="str">
        <f>IF(AND($A455="Main",$F455=1),SUMPRODUCT(($A$2:$A455="Main")*($F$2:$F455=1)),"")</f>
        <v/>
      </c>
      <c r="I455" t="str">
        <f>IF(AND($A455="Dessert",$F455=1),SUMPRODUCT(($A$2:$A455="Dessert")*($F$2:$F455=1)),"")</f>
        <v/>
      </c>
      <c r="J455" t="str">
        <f>IF(AND($A455="Side",$F455=1),SUMPRODUCT(($A$2:$A455="Side")*($F$2:$F455=1)),"")</f>
        <v/>
      </c>
      <c r="K455" t="str">
        <f>IF(AND($A455="Drink",$F455=1),SUMPRODUCT(($A$2:$A455="Drink")*($F$2:$F455=1)),"")</f>
        <v/>
      </c>
      <c r="L455" t="str">
        <f>IF($F455=1,SUMPRODUCT(($F$2:$F455=1)*1),"")</f>
        <v/>
      </c>
    </row>
    <row r="456" spans="7:12">
      <c r="G456" t="str">
        <f>IF(AND($A456="Starter",$F456=1),SUMPRODUCT(($A$2:$A456="Starter")*($F$2:$F456=1)),"")</f>
        <v/>
      </c>
      <c r="H456" t="str">
        <f>IF(AND($A456="Main",$F456=1),SUMPRODUCT(($A$2:$A456="Main")*($F$2:$F456=1)),"")</f>
        <v/>
      </c>
      <c r="I456" t="str">
        <f>IF(AND($A456="Dessert",$F456=1),SUMPRODUCT(($A$2:$A456="Dessert")*($F$2:$F456=1)),"")</f>
        <v/>
      </c>
      <c r="J456" t="str">
        <f>IF(AND($A456="Side",$F456=1),SUMPRODUCT(($A$2:$A456="Side")*($F$2:$F456=1)),"")</f>
        <v/>
      </c>
      <c r="K456" t="str">
        <f>IF(AND($A456="Drink",$F456=1),SUMPRODUCT(($A$2:$A456="Drink")*($F$2:$F456=1)),"")</f>
        <v/>
      </c>
      <c r="L456" t="str">
        <f>IF($F456=1,SUMPRODUCT(($F$2:$F456=1)*1),"")</f>
        <v/>
      </c>
    </row>
    <row r="457" spans="7:12">
      <c r="G457" t="str">
        <f>IF(AND($A457="Starter",$F457=1),SUMPRODUCT(($A$2:$A457="Starter")*($F$2:$F457=1)),"")</f>
        <v/>
      </c>
      <c r="H457" t="str">
        <f>IF(AND($A457="Main",$F457=1),SUMPRODUCT(($A$2:$A457="Main")*($F$2:$F457=1)),"")</f>
        <v/>
      </c>
      <c r="I457" t="str">
        <f>IF(AND($A457="Dessert",$F457=1),SUMPRODUCT(($A$2:$A457="Dessert")*($F$2:$F457=1)),"")</f>
        <v/>
      </c>
      <c r="J457" t="str">
        <f>IF(AND($A457="Side",$F457=1),SUMPRODUCT(($A$2:$A457="Side")*($F$2:$F457=1)),"")</f>
        <v/>
      </c>
      <c r="K457" t="str">
        <f>IF(AND($A457="Drink",$F457=1),SUMPRODUCT(($A$2:$A457="Drink")*($F$2:$F457=1)),"")</f>
        <v/>
      </c>
      <c r="L457" t="str">
        <f>IF($F457=1,SUMPRODUCT(($F$2:$F457=1)*1),"")</f>
        <v/>
      </c>
    </row>
    <row r="458" spans="7:12">
      <c r="G458" t="str">
        <f>IF(AND($A458="Starter",$F458=1),SUMPRODUCT(($A$2:$A458="Starter")*($F$2:$F458=1)),"")</f>
        <v/>
      </c>
      <c r="H458" t="str">
        <f>IF(AND($A458="Main",$F458=1),SUMPRODUCT(($A$2:$A458="Main")*($F$2:$F458=1)),"")</f>
        <v/>
      </c>
      <c r="I458" t="str">
        <f>IF(AND($A458="Dessert",$F458=1),SUMPRODUCT(($A$2:$A458="Dessert")*($F$2:$F458=1)),"")</f>
        <v/>
      </c>
      <c r="J458" t="str">
        <f>IF(AND($A458="Side",$F458=1),SUMPRODUCT(($A$2:$A458="Side")*($F$2:$F458=1)),"")</f>
        <v/>
      </c>
      <c r="K458" t="str">
        <f>IF(AND($A458="Drink",$F458=1),SUMPRODUCT(($A$2:$A458="Drink")*($F$2:$F458=1)),"")</f>
        <v/>
      </c>
      <c r="L458" t="str">
        <f>IF($F458=1,SUMPRODUCT(($F$2:$F458=1)*1),"")</f>
        <v/>
      </c>
    </row>
    <row r="459" spans="7:12">
      <c r="G459" t="str">
        <f>IF(AND($A459="Starter",$F459=1),SUMPRODUCT(($A$2:$A459="Starter")*($F$2:$F459=1)),"")</f>
        <v/>
      </c>
      <c r="H459" t="str">
        <f>IF(AND($A459="Main",$F459=1),SUMPRODUCT(($A$2:$A459="Main")*($F$2:$F459=1)),"")</f>
        <v/>
      </c>
      <c r="I459" t="str">
        <f>IF(AND($A459="Dessert",$F459=1),SUMPRODUCT(($A$2:$A459="Dessert")*($F$2:$F459=1)),"")</f>
        <v/>
      </c>
      <c r="J459" t="str">
        <f>IF(AND($A459="Side",$F459=1),SUMPRODUCT(($A$2:$A459="Side")*($F$2:$F459=1)),"")</f>
        <v/>
      </c>
      <c r="K459" t="str">
        <f>IF(AND($A459="Drink",$F459=1),SUMPRODUCT(($A$2:$A459="Drink")*($F$2:$F459=1)),"")</f>
        <v/>
      </c>
      <c r="L459" t="str">
        <f>IF($F459=1,SUMPRODUCT(($F$2:$F459=1)*1),"")</f>
        <v/>
      </c>
    </row>
    <row r="460" spans="7:12">
      <c r="G460" t="str">
        <f>IF(AND($A460="Starter",$F460=1),SUMPRODUCT(($A$2:$A460="Starter")*($F$2:$F460=1)),"")</f>
        <v/>
      </c>
      <c r="H460" t="str">
        <f>IF(AND($A460="Main",$F460=1),SUMPRODUCT(($A$2:$A460="Main")*($F$2:$F460=1)),"")</f>
        <v/>
      </c>
      <c r="I460" t="str">
        <f>IF(AND($A460="Dessert",$F460=1),SUMPRODUCT(($A$2:$A460="Dessert")*($F$2:$F460=1)),"")</f>
        <v/>
      </c>
      <c r="J460" t="str">
        <f>IF(AND($A460="Side",$F460=1),SUMPRODUCT(($A$2:$A460="Side")*($F$2:$F460=1)),"")</f>
        <v/>
      </c>
      <c r="K460" t="str">
        <f>IF(AND($A460="Drink",$F460=1),SUMPRODUCT(($A$2:$A460="Drink")*($F$2:$F460=1)),"")</f>
        <v/>
      </c>
      <c r="L460" t="str">
        <f>IF($F460=1,SUMPRODUCT(($F$2:$F460=1)*1),"")</f>
        <v/>
      </c>
    </row>
    <row r="461" spans="7:12">
      <c r="G461" t="str">
        <f>IF(AND($A461="Starter",$F461=1),SUMPRODUCT(($A$2:$A461="Starter")*($F$2:$F461=1)),"")</f>
        <v/>
      </c>
      <c r="H461" t="str">
        <f>IF(AND($A461="Main",$F461=1),SUMPRODUCT(($A$2:$A461="Main")*($F$2:$F461=1)),"")</f>
        <v/>
      </c>
      <c r="I461" t="str">
        <f>IF(AND($A461="Dessert",$F461=1),SUMPRODUCT(($A$2:$A461="Dessert")*($F$2:$F461=1)),"")</f>
        <v/>
      </c>
      <c r="J461" t="str">
        <f>IF(AND($A461="Side",$F461=1),SUMPRODUCT(($A$2:$A461="Side")*($F$2:$F461=1)),"")</f>
        <v/>
      </c>
      <c r="K461" t="str">
        <f>IF(AND($A461="Drink",$F461=1),SUMPRODUCT(($A$2:$A461="Drink")*($F$2:$F461=1)),"")</f>
        <v/>
      </c>
      <c r="L461" t="str">
        <f>IF($F461=1,SUMPRODUCT(($F$2:$F461=1)*1),"")</f>
        <v/>
      </c>
    </row>
    <row r="462" spans="7:12">
      <c r="G462" t="str">
        <f>IF(AND($A462="Starter",$F462=1),SUMPRODUCT(($A$2:$A462="Starter")*($F$2:$F462=1)),"")</f>
        <v/>
      </c>
      <c r="H462" t="str">
        <f>IF(AND($A462="Main",$F462=1),SUMPRODUCT(($A$2:$A462="Main")*($F$2:$F462=1)),"")</f>
        <v/>
      </c>
      <c r="I462" t="str">
        <f>IF(AND($A462="Dessert",$F462=1),SUMPRODUCT(($A$2:$A462="Dessert")*($F$2:$F462=1)),"")</f>
        <v/>
      </c>
      <c r="J462" t="str">
        <f>IF(AND($A462="Side",$F462=1),SUMPRODUCT(($A$2:$A462="Side")*($F$2:$F462=1)),"")</f>
        <v/>
      </c>
      <c r="K462" t="str">
        <f>IF(AND($A462="Drink",$F462=1),SUMPRODUCT(($A$2:$A462="Drink")*($F$2:$F462=1)),"")</f>
        <v/>
      </c>
      <c r="L462" t="str">
        <f>IF($F462=1,SUMPRODUCT(($F$2:$F462=1)*1),"")</f>
        <v/>
      </c>
    </row>
    <row r="463" spans="7:12">
      <c r="G463" t="str">
        <f>IF(AND($A463="Starter",$F463=1),SUMPRODUCT(($A$2:$A463="Starter")*($F$2:$F463=1)),"")</f>
        <v/>
      </c>
      <c r="H463" t="str">
        <f>IF(AND($A463="Main",$F463=1),SUMPRODUCT(($A$2:$A463="Main")*($F$2:$F463=1)),"")</f>
        <v/>
      </c>
      <c r="I463" t="str">
        <f>IF(AND($A463="Dessert",$F463=1),SUMPRODUCT(($A$2:$A463="Dessert")*($F$2:$F463=1)),"")</f>
        <v/>
      </c>
      <c r="J463" t="str">
        <f>IF(AND($A463="Side",$F463=1),SUMPRODUCT(($A$2:$A463="Side")*($F$2:$F463=1)),"")</f>
        <v/>
      </c>
      <c r="K463" t="str">
        <f>IF(AND($A463="Drink",$F463=1),SUMPRODUCT(($A$2:$A463="Drink")*($F$2:$F463=1)),"")</f>
        <v/>
      </c>
      <c r="L463" t="str">
        <f>IF($F463=1,SUMPRODUCT(($F$2:$F463=1)*1),"")</f>
        <v/>
      </c>
    </row>
    <row r="464" spans="7:12">
      <c r="G464" t="str">
        <f>IF(AND($A464="Starter",$F464=1),SUMPRODUCT(($A$2:$A464="Starter")*($F$2:$F464=1)),"")</f>
        <v/>
      </c>
      <c r="H464" t="str">
        <f>IF(AND($A464="Main",$F464=1),SUMPRODUCT(($A$2:$A464="Main")*($F$2:$F464=1)),"")</f>
        <v/>
      </c>
      <c r="I464" t="str">
        <f>IF(AND($A464="Dessert",$F464=1),SUMPRODUCT(($A$2:$A464="Dessert")*($F$2:$F464=1)),"")</f>
        <v/>
      </c>
      <c r="J464" t="str">
        <f>IF(AND($A464="Side",$F464=1),SUMPRODUCT(($A$2:$A464="Side")*($F$2:$F464=1)),"")</f>
        <v/>
      </c>
      <c r="K464" t="str">
        <f>IF(AND($A464="Drink",$F464=1),SUMPRODUCT(($A$2:$A464="Drink")*($F$2:$F464=1)),"")</f>
        <v/>
      </c>
      <c r="L464" t="str">
        <f>IF($F464=1,SUMPRODUCT(($F$2:$F464=1)*1),"")</f>
        <v/>
      </c>
    </row>
    <row r="465" spans="7:12">
      <c r="G465" t="str">
        <f>IF(AND($A465="Starter",$F465=1),SUMPRODUCT(($A$2:$A465="Starter")*($F$2:$F465=1)),"")</f>
        <v/>
      </c>
      <c r="H465" t="str">
        <f>IF(AND($A465="Main",$F465=1),SUMPRODUCT(($A$2:$A465="Main")*($F$2:$F465=1)),"")</f>
        <v/>
      </c>
      <c r="I465" t="str">
        <f>IF(AND($A465="Dessert",$F465=1),SUMPRODUCT(($A$2:$A465="Dessert")*($F$2:$F465=1)),"")</f>
        <v/>
      </c>
      <c r="J465" t="str">
        <f>IF(AND($A465="Side",$F465=1),SUMPRODUCT(($A$2:$A465="Side")*($F$2:$F465=1)),"")</f>
        <v/>
      </c>
      <c r="K465" t="str">
        <f>IF(AND($A465="Drink",$F465=1),SUMPRODUCT(($A$2:$A465="Drink")*($F$2:$F465=1)),"")</f>
        <v/>
      </c>
      <c r="L465" t="str">
        <f>IF($F465=1,SUMPRODUCT(($F$2:$F465=1)*1),"")</f>
        <v/>
      </c>
    </row>
    <row r="466" spans="7:12">
      <c r="G466" t="str">
        <f>IF(AND($A466="Starter",$F466=1),SUMPRODUCT(($A$2:$A466="Starter")*($F$2:$F466=1)),"")</f>
        <v/>
      </c>
      <c r="H466" t="str">
        <f>IF(AND($A466="Main",$F466=1),SUMPRODUCT(($A$2:$A466="Main")*($F$2:$F466=1)),"")</f>
        <v/>
      </c>
      <c r="I466" t="str">
        <f>IF(AND($A466="Dessert",$F466=1),SUMPRODUCT(($A$2:$A466="Dessert")*($F$2:$F466=1)),"")</f>
        <v/>
      </c>
      <c r="J466" t="str">
        <f>IF(AND($A466="Side",$F466=1),SUMPRODUCT(($A$2:$A466="Side")*($F$2:$F466=1)),"")</f>
        <v/>
      </c>
      <c r="K466" t="str">
        <f>IF(AND($A466="Drink",$F466=1),SUMPRODUCT(($A$2:$A466="Drink")*($F$2:$F466=1)),"")</f>
        <v/>
      </c>
      <c r="L466" t="str">
        <f>IF($F466=1,SUMPRODUCT(($F$2:$F466=1)*1),"")</f>
        <v/>
      </c>
    </row>
    <row r="467" spans="7:12">
      <c r="G467" t="str">
        <f>IF(AND($A467="Starter",$F467=1),SUMPRODUCT(($A$2:$A467="Starter")*($F$2:$F467=1)),"")</f>
        <v/>
      </c>
      <c r="H467" t="str">
        <f>IF(AND($A467="Main",$F467=1),SUMPRODUCT(($A$2:$A467="Main")*($F$2:$F467=1)),"")</f>
        <v/>
      </c>
      <c r="I467" t="str">
        <f>IF(AND($A467="Dessert",$F467=1),SUMPRODUCT(($A$2:$A467="Dessert")*($F$2:$F467=1)),"")</f>
        <v/>
      </c>
      <c r="J467" t="str">
        <f>IF(AND($A467="Side",$F467=1),SUMPRODUCT(($A$2:$A467="Side")*($F$2:$F467=1)),"")</f>
        <v/>
      </c>
      <c r="K467" t="str">
        <f>IF(AND($A467="Drink",$F467=1),SUMPRODUCT(($A$2:$A467="Drink")*($F$2:$F467=1)),"")</f>
        <v/>
      </c>
      <c r="L467" t="str">
        <f>IF($F467=1,SUMPRODUCT(($F$2:$F467=1)*1),"")</f>
        <v/>
      </c>
    </row>
    <row r="468" spans="7:12">
      <c r="G468" t="str">
        <f>IF(AND($A468="Starter",$F468=1),SUMPRODUCT(($A$2:$A468="Starter")*($F$2:$F468=1)),"")</f>
        <v/>
      </c>
      <c r="H468" t="str">
        <f>IF(AND($A468="Main",$F468=1),SUMPRODUCT(($A$2:$A468="Main")*($F$2:$F468=1)),"")</f>
        <v/>
      </c>
      <c r="I468" t="str">
        <f>IF(AND($A468="Dessert",$F468=1),SUMPRODUCT(($A$2:$A468="Dessert")*($F$2:$F468=1)),"")</f>
        <v/>
      </c>
      <c r="J468" t="str">
        <f>IF(AND($A468="Side",$F468=1),SUMPRODUCT(($A$2:$A468="Side")*($F$2:$F468=1)),"")</f>
        <v/>
      </c>
      <c r="K468" t="str">
        <f>IF(AND($A468="Drink",$F468=1),SUMPRODUCT(($A$2:$A468="Drink")*($F$2:$F468=1)),"")</f>
        <v/>
      </c>
      <c r="L468" t="str">
        <f>IF($F468=1,SUMPRODUCT(($F$2:$F468=1)*1),"")</f>
        <v/>
      </c>
    </row>
    <row r="469" spans="7:12">
      <c r="G469" t="str">
        <f>IF(AND($A469="Starter",$F469=1),SUMPRODUCT(($A$2:$A469="Starter")*($F$2:$F469=1)),"")</f>
        <v/>
      </c>
      <c r="H469" t="str">
        <f>IF(AND($A469="Main",$F469=1),SUMPRODUCT(($A$2:$A469="Main")*($F$2:$F469=1)),"")</f>
        <v/>
      </c>
      <c r="I469" t="str">
        <f>IF(AND($A469="Dessert",$F469=1),SUMPRODUCT(($A$2:$A469="Dessert")*($F$2:$F469=1)),"")</f>
        <v/>
      </c>
      <c r="J469" t="str">
        <f>IF(AND($A469="Side",$F469=1),SUMPRODUCT(($A$2:$A469="Side")*($F$2:$F469=1)),"")</f>
        <v/>
      </c>
      <c r="K469" t="str">
        <f>IF(AND($A469="Drink",$F469=1),SUMPRODUCT(($A$2:$A469="Drink")*($F$2:$F469=1)),"")</f>
        <v/>
      </c>
      <c r="L469" t="str">
        <f>IF($F469=1,SUMPRODUCT(($F$2:$F469=1)*1),"")</f>
        <v/>
      </c>
    </row>
    <row r="470" spans="7:12">
      <c r="G470" t="str">
        <f>IF(AND($A470="Starter",$F470=1),SUMPRODUCT(($A$2:$A470="Starter")*($F$2:$F470=1)),"")</f>
        <v/>
      </c>
      <c r="H470" t="str">
        <f>IF(AND($A470="Main",$F470=1),SUMPRODUCT(($A$2:$A470="Main")*($F$2:$F470=1)),"")</f>
        <v/>
      </c>
      <c r="I470" t="str">
        <f>IF(AND($A470="Dessert",$F470=1),SUMPRODUCT(($A$2:$A470="Dessert")*($F$2:$F470=1)),"")</f>
        <v/>
      </c>
      <c r="J470" t="str">
        <f>IF(AND($A470="Side",$F470=1),SUMPRODUCT(($A$2:$A470="Side")*($F$2:$F470=1)),"")</f>
        <v/>
      </c>
      <c r="K470" t="str">
        <f>IF(AND($A470="Drink",$F470=1),SUMPRODUCT(($A$2:$A470="Drink")*($F$2:$F470=1)),"")</f>
        <v/>
      </c>
      <c r="L470" t="str">
        <f>IF($F470=1,SUMPRODUCT(($F$2:$F470=1)*1),"")</f>
        <v/>
      </c>
    </row>
    <row r="471" spans="7:12">
      <c r="G471" t="str">
        <f>IF(AND($A471="Starter",$F471=1),SUMPRODUCT(($A$2:$A471="Starter")*($F$2:$F471=1)),"")</f>
        <v/>
      </c>
      <c r="H471" t="str">
        <f>IF(AND($A471="Main",$F471=1),SUMPRODUCT(($A$2:$A471="Main")*($F$2:$F471=1)),"")</f>
        <v/>
      </c>
      <c r="I471" t="str">
        <f>IF(AND($A471="Dessert",$F471=1),SUMPRODUCT(($A$2:$A471="Dessert")*($F$2:$F471=1)),"")</f>
        <v/>
      </c>
      <c r="J471" t="str">
        <f>IF(AND($A471="Side",$F471=1),SUMPRODUCT(($A$2:$A471="Side")*($F$2:$F471=1)),"")</f>
        <v/>
      </c>
      <c r="K471" t="str">
        <f>IF(AND($A471="Drink",$F471=1),SUMPRODUCT(($A$2:$A471="Drink")*($F$2:$F471=1)),"")</f>
        <v/>
      </c>
      <c r="L471" t="str">
        <f>IF($F471=1,SUMPRODUCT(($F$2:$F471=1)*1),"")</f>
        <v/>
      </c>
    </row>
    <row r="472" spans="7:12">
      <c r="G472" t="str">
        <f>IF(AND($A472="Starter",$F472=1),SUMPRODUCT(($A$2:$A472="Starter")*($F$2:$F472=1)),"")</f>
        <v/>
      </c>
      <c r="H472" t="str">
        <f>IF(AND($A472="Main",$F472=1),SUMPRODUCT(($A$2:$A472="Main")*($F$2:$F472=1)),"")</f>
        <v/>
      </c>
      <c r="I472" t="str">
        <f>IF(AND($A472="Dessert",$F472=1),SUMPRODUCT(($A$2:$A472="Dessert")*($F$2:$F472=1)),"")</f>
        <v/>
      </c>
      <c r="J472" t="str">
        <f>IF(AND($A472="Side",$F472=1),SUMPRODUCT(($A$2:$A472="Side")*($F$2:$F472=1)),"")</f>
        <v/>
      </c>
      <c r="K472" t="str">
        <f>IF(AND($A472="Drink",$F472=1),SUMPRODUCT(($A$2:$A472="Drink")*($F$2:$F472=1)),"")</f>
        <v/>
      </c>
      <c r="L472" t="str">
        <f>IF($F472=1,SUMPRODUCT(($F$2:$F472=1)*1),"")</f>
        <v/>
      </c>
    </row>
    <row r="473" spans="7:12">
      <c r="G473" t="str">
        <f>IF(AND($A473="Starter",$F473=1),SUMPRODUCT(($A$2:$A473="Starter")*($F$2:$F473=1)),"")</f>
        <v/>
      </c>
      <c r="H473" t="str">
        <f>IF(AND($A473="Main",$F473=1),SUMPRODUCT(($A$2:$A473="Main")*($F$2:$F473=1)),"")</f>
        <v/>
      </c>
      <c r="I473" t="str">
        <f>IF(AND($A473="Dessert",$F473=1),SUMPRODUCT(($A$2:$A473="Dessert")*($F$2:$F473=1)),"")</f>
        <v/>
      </c>
      <c r="J473" t="str">
        <f>IF(AND($A473="Side",$F473=1),SUMPRODUCT(($A$2:$A473="Side")*($F$2:$F473=1)),"")</f>
        <v/>
      </c>
      <c r="K473" t="str">
        <f>IF(AND($A473="Drink",$F473=1),SUMPRODUCT(($A$2:$A473="Drink")*($F$2:$F473=1)),"")</f>
        <v/>
      </c>
      <c r="L473" t="str">
        <f>IF($F473=1,SUMPRODUCT(($F$2:$F473=1)*1),"")</f>
        <v/>
      </c>
    </row>
    <row r="474" spans="7:12">
      <c r="G474" t="str">
        <f>IF(AND($A474="Starter",$F474=1),SUMPRODUCT(($A$2:$A474="Starter")*($F$2:$F474=1)),"")</f>
        <v/>
      </c>
      <c r="H474" t="str">
        <f>IF(AND($A474="Main",$F474=1),SUMPRODUCT(($A$2:$A474="Main")*($F$2:$F474=1)),"")</f>
        <v/>
      </c>
      <c r="I474" t="str">
        <f>IF(AND($A474="Dessert",$F474=1),SUMPRODUCT(($A$2:$A474="Dessert")*($F$2:$F474=1)),"")</f>
        <v/>
      </c>
      <c r="J474" t="str">
        <f>IF(AND($A474="Side",$F474=1),SUMPRODUCT(($A$2:$A474="Side")*($F$2:$F474=1)),"")</f>
        <v/>
      </c>
      <c r="K474" t="str">
        <f>IF(AND($A474="Drink",$F474=1),SUMPRODUCT(($A$2:$A474="Drink")*($F$2:$F474=1)),"")</f>
        <v/>
      </c>
      <c r="L474" t="str">
        <f>IF($F474=1,SUMPRODUCT(($F$2:$F474=1)*1),"")</f>
        <v/>
      </c>
    </row>
    <row r="475" spans="7:12">
      <c r="G475" t="str">
        <f>IF(AND($A475="Starter",$F475=1),SUMPRODUCT(($A$2:$A475="Starter")*($F$2:$F475=1)),"")</f>
        <v/>
      </c>
      <c r="H475" t="str">
        <f>IF(AND($A475="Main",$F475=1),SUMPRODUCT(($A$2:$A475="Main")*($F$2:$F475=1)),"")</f>
        <v/>
      </c>
      <c r="I475" t="str">
        <f>IF(AND($A475="Dessert",$F475=1),SUMPRODUCT(($A$2:$A475="Dessert")*($F$2:$F475=1)),"")</f>
        <v/>
      </c>
      <c r="J475" t="str">
        <f>IF(AND($A475="Side",$F475=1),SUMPRODUCT(($A$2:$A475="Side")*($F$2:$F475=1)),"")</f>
        <v/>
      </c>
      <c r="K475" t="str">
        <f>IF(AND($A475="Drink",$F475=1),SUMPRODUCT(($A$2:$A475="Drink")*($F$2:$F475=1)),"")</f>
        <v/>
      </c>
      <c r="L475" t="str">
        <f>IF($F475=1,SUMPRODUCT(($F$2:$F475=1)*1),"")</f>
        <v/>
      </c>
    </row>
    <row r="476" spans="7:12">
      <c r="G476" t="str">
        <f>IF(AND($A476="Starter",$F476=1),SUMPRODUCT(($A$2:$A476="Starter")*($F$2:$F476=1)),"")</f>
        <v/>
      </c>
      <c r="H476" t="str">
        <f>IF(AND($A476="Main",$F476=1),SUMPRODUCT(($A$2:$A476="Main")*($F$2:$F476=1)),"")</f>
        <v/>
      </c>
      <c r="I476" t="str">
        <f>IF(AND($A476="Dessert",$F476=1),SUMPRODUCT(($A$2:$A476="Dessert")*($F$2:$F476=1)),"")</f>
        <v/>
      </c>
      <c r="J476" t="str">
        <f>IF(AND($A476="Side",$F476=1),SUMPRODUCT(($A$2:$A476="Side")*($F$2:$F476=1)),"")</f>
        <v/>
      </c>
      <c r="K476" t="str">
        <f>IF(AND($A476="Drink",$F476=1),SUMPRODUCT(($A$2:$A476="Drink")*($F$2:$F476=1)),"")</f>
        <v/>
      </c>
      <c r="L476" t="str">
        <f>IF($F476=1,SUMPRODUCT(($F$2:$F476=1)*1),"")</f>
        <v/>
      </c>
    </row>
    <row r="477" spans="7:12">
      <c r="G477" t="str">
        <f>IF(AND($A477="Starter",$F477=1),SUMPRODUCT(($A$2:$A477="Starter")*($F$2:$F477=1)),"")</f>
        <v/>
      </c>
      <c r="H477" t="str">
        <f>IF(AND($A477="Main",$F477=1),SUMPRODUCT(($A$2:$A477="Main")*($F$2:$F477=1)),"")</f>
        <v/>
      </c>
      <c r="I477" t="str">
        <f>IF(AND($A477="Dessert",$F477=1),SUMPRODUCT(($A$2:$A477="Dessert")*($F$2:$F477=1)),"")</f>
        <v/>
      </c>
      <c r="J477" t="str">
        <f>IF(AND($A477="Side",$F477=1),SUMPRODUCT(($A$2:$A477="Side")*($F$2:$F477=1)),"")</f>
        <v/>
      </c>
      <c r="K477" t="str">
        <f>IF(AND($A477="Drink",$F477=1),SUMPRODUCT(($A$2:$A477="Drink")*($F$2:$F477=1)),"")</f>
        <v/>
      </c>
      <c r="L477" t="str">
        <f>IF($F477=1,SUMPRODUCT(($F$2:$F477=1)*1),"")</f>
        <v/>
      </c>
    </row>
    <row r="478" spans="7:12">
      <c r="G478" t="str">
        <f>IF(AND($A478="Starter",$F478=1),SUMPRODUCT(($A$2:$A478="Starter")*($F$2:$F478=1)),"")</f>
        <v/>
      </c>
      <c r="H478" t="str">
        <f>IF(AND($A478="Main",$F478=1),SUMPRODUCT(($A$2:$A478="Main")*($F$2:$F478=1)),"")</f>
        <v/>
      </c>
      <c r="I478" t="str">
        <f>IF(AND($A478="Dessert",$F478=1),SUMPRODUCT(($A$2:$A478="Dessert")*($F$2:$F478=1)),"")</f>
        <v/>
      </c>
      <c r="J478" t="str">
        <f>IF(AND($A478="Side",$F478=1),SUMPRODUCT(($A$2:$A478="Side")*($F$2:$F478=1)),"")</f>
        <v/>
      </c>
      <c r="K478" t="str">
        <f>IF(AND($A478="Drink",$F478=1),SUMPRODUCT(($A$2:$A478="Drink")*($F$2:$F478=1)),"")</f>
        <v/>
      </c>
      <c r="L478" t="str">
        <f>IF($F478=1,SUMPRODUCT(($F$2:$F478=1)*1),"")</f>
        <v/>
      </c>
    </row>
    <row r="479" spans="7:12">
      <c r="G479" t="str">
        <f>IF(AND($A479="Starter",$F479=1),SUMPRODUCT(($A$2:$A479="Starter")*($F$2:$F479=1)),"")</f>
        <v/>
      </c>
      <c r="H479" t="str">
        <f>IF(AND($A479="Main",$F479=1),SUMPRODUCT(($A$2:$A479="Main")*($F$2:$F479=1)),"")</f>
        <v/>
      </c>
      <c r="I479" t="str">
        <f>IF(AND($A479="Dessert",$F479=1),SUMPRODUCT(($A$2:$A479="Dessert")*($F$2:$F479=1)),"")</f>
        <v/>
      </c>
      <c r="J479" t="str">
        <f>IF(AND($A479="Side",$F479=1),SUMPRODUCT(($A$2:$A479="Side")*($F$2:$F479=1)),"")</f>
        <v/>
      </c>
      <c r="K479" t="str">
        <f>IF(AND($A479="Drink",$F479=1),SUMPRODUCT(($A$2:$A479="Drink")*($F$2:$F479=1)),"")</f>
        <v/>
      </c>
      <c r="L479" t="str">
        <f>IF($F479=1,SUMPRODUCT(($F$2:$F479=1)*1),"")</f>
        <v/>
      </c>
    </row>
    <row r="480" spans="7:12">
      <c r="G480" t="str">
        <f>IF(AND($A480="Starter",$F480=1),SUMPRODUCT(($A$2:$A480="Starter")*($F$2:$F480=1)),"")</f>
        <v/>
      </c>
      <c r="H480" t="str">
        <f>IF(AND($A480="Main",$F480=1),SUMPRODUCT(($A$2:$A480="Main")*($F$2:$F480=1)),"")</f>
        <v/>
      </c>
      <c r="I480" t="str">
        <f>IF(AND($A480="Dessert",$F480=1),SUMPRODUCT(($A$2:$A480="Dessert")*($F$2:$F480=1)),"")</f>
        <v/>
      </c>
      <c r="J480" t="str">
        <f>IF(AND($A480="Side",$F480=1),SUMPRODUCT(($A$2:$A480="Side")*($F$2:$F480=1)),"")</f>
        <v/>
      </c>
      <c r="K480" t="str">
        <f>IF(AND($A480="Drink",$F480=1),SUMPRODUCT(($A$2:$A480="Drink")*($F$2:$F480=1)),"")</f>
        <v/>
      </c>
      <c r="L480" t="str">
        <f>IF($F480=1,SUMPRODUCT(($F$2:$F480=1)*1),"")</f>
        <v/>
      </c>
    </row>
    <row r="481" spans="7:12">
      <c r="G481" t="str">
        <f>IF(AND($A481="Starter",$F481=1),SUMPRODUCT(($A$2:$A481="Starter")*($F$2:$F481=1)),"")</f>
        <v/>
      </c>
      <c r="H481" t="str">
        <f>IF(AND($A481="Main",$F481=1),SUMPRODUCT(($A$2:$A481="Main")*($F$2:$F481=1)),"")</f>
        <v/>
      </c>
      <c r="I481" t="str">
        <f>IF(AND($A481="Dessert",$F481=1),SUMPRODUCT(($A$2:$A481="Dessert")*($F$2:$F481=1)),"")</f>
        <v/>
      </c>
      <c r="J481" t="str">
        <f>IF(AND($A481="Side",$F481=1),SUMPRODUCT(($A$2:$A481="Side")*($F$2:$F481=1)),"")</f>
        <v/>
      </c>
      <c r="K481" t="str">
        <f>IF(AND($A481="Drink",$F481=1),SUMPRODUCT(($A$2:$A481="Drink")*($F$2:$F481=1)),"")</f>
        <v/>
      </c>
      <c r="L481" t="str">
        <f>IF($F481=1,SUMPRODUCT(($F$2:$F481=1)*1),"")</f>
        <v/>
      </c>
    </row>
    <row r="482" spans="7:12">
      <c r="G482" t="str">
        <f>IF(AND($A482="Starter",$F482=1),SUMPRODUCT(($A$2:$A482="Starter")*($F$2:$F482=1)),"")</f>
        <v/>
      </c>
      <c r="H482" t="str">
        <f>IF(AND($A482="Main",$F482=1),SUMPRODUCT(($A$2:$A482="Main")*($F$2:$F482=1)),"")</f>
        <v/>
      </c>
      <c r="I482" t="str">
        <f>IF(AND($A482="Dessert",$F482=1),SUMPRODUCT(($A$2:$A482="Dessert")*($F$2:$F482=1)),"")</f>
        <v/>
      </c>
      <c r="J482" t="str">
        <f>IF(AND($A482="Side",$F482=1),SUMPRODUCT(($A$2:$A482="Side")*($F$2:$F482=1)),"")</f>
        <v/>
      </c>
      <c r="K482" t="str">
        <f>IF(AND($A482="Drink",$F482=1),SUMPRODUCT(($A$2:$A482="Drink")*($F$2:$F482=1)),"")</f>
        <v/>
      </c>
      <c r="L482" t="str">
        <f>IF($F482=1,SUMPRODUCT(($F$2:$F482=1)*1),"")</f>
        <v/>
      </c>
    </row>
    <row r="483" spans="7:12">
      <c r="G483" t="str">
        <f>IF(AND($A483="Starter",$F483=1),SUMPRODUCT(($A$2:$A483="Starter")*($F$2:$F483=1)),"")</f>
        <v/>
      </c>
      <c r="H483" t="str">
        <f>IF(AND($A483="Main",$F483=1),SUMPRODUCT(($A$2:$A483="Main")*($F$2:$F483=1)),"")</f>
        <v/>
      </c>
      <c r="I483" t="str">
        <f>IF(AND($A483="Dessert",$F483=1),SUMPRODUCT(($A$2:$A483="Dessert")*($F$2:$F483=1)),"")</f>
        <v/>
      </c>
      <c r="J483" t="str">
        <f>IF(AND($A483="Side",$F483=1),SUMPRODUCT(($A$2:$A483="Side")*($F$2:$F483=1)),"")</f>
        <v/>
      </c>
      <c r="K483" t="str">
        <f>IF(AND($A483="Drink",$F483=1),SUMPRODUCT(($A$2:$A483="Drink")*($F$2:$F483=1)),"")</f>
        <v/>
      </c>
      <c r="L483" t="str">
        <f>IF($F483=1,SUMPRODUCT(($F$2:$F483=1)*1),"")</f>
        <v/>
      </c>
    </row>
    <row r="484" spans="7:12">
      <c r="G484" t="str">
        <f>IF(AND($A484="Starter",$F484=1),SUMPRODUCT(($A$2:$A484="Starter")*($F$2:$F484=1)),"")</f>
        <v/>
      </c>
      <c r="H484" t="str">
        <f>IF(AND($A484="Main",$F484=1),SUMPRODUCT(($A$2:$A484="Main")*($F$2:$F484=1)),"")</f>
        <v/>
      </c>
      <c r="I484" t="str">
        <f>IF(AND($A484="Dessert",$F484=1),SUMPRODUCT(($A$2:$A484="Dessert")*($F$2:$F484=1)),"")</f>
        <v/>
      </c>
      <c r="J484" t="str">
        <f>IF(AND($A484="Side",$F484=1),SUMPRODUCT(($A$2:$A484="Side")*($F$2:$F484=1)),"")</f>
        <v/>
      </c>
      <c r="K484" t="str">
        <f>IF(AND($A484="Drink",$F484=1),SUMPRODUCT(($A$2:$A484="Drink")*($F$2:$F484=1)),"")</f>
        <v/>
      </c>
      <c r="L484" t="str">
        <f>IF($F484=1,SUMPRODUCT(($F$2:$F484=1)*1),"")</f>
        <v/>
      </c>
    </row>
    <row r="485" spans="7:12">
      <c r="G485" t="str">
        <f>IF(AND($A485="Starter",$F485=1),SUMPRODUCT(($A$2:$A485="Starter")*($F$2:$F485=1)),"")</f>
        <v/>
      </c>
      <c r="H485" t="str">
        <f>IF(AND($A485="Main",$F485=1),SUMPRODUCT(($A$2:$A485="Main")*($F$2:$F485=1)),"")</f>
        <v/>
      </c>
      <c r="I485" t="str">
        <f>IF(AND($A485="Dessert",$F485=1),SUMPRODUCT(($A$2:$A485="Dessert")*($F$2:$F485=1)),"")</f>
        <v/>
      </c>
      <c r="J485" t="str">
        <f>IF(AND($A485="Side",$F485=1),SUMPRODUCT(($A$2:$A485="Side")*($F$2:$F485=1)),"")</f>
        <v/>
      </c>
      <c r="K485" t="str">
        <f>IF(AND($A485="Drink",$F485=1),SUMPRODUCT(($A$2:$A485="Drink")*($F$2:$F485=1)),"")</f>
        <v/>
      </c>
      <c r="L485" t="str">
        <f>IF($F485=1,SUMPRODUCT(($F$2:$F485=1)*1),"")</f>
        <v/>
      </c>
    </row>
    <row r="486" spans="7:12">
      <c r="G486" t="str">
        <f>IF(AND($A486="Starter",$F486=1),SUMPRODUCT(($A$2:$A486="Starter")*($F$2:$F486=1)),"")</f>
        <v/>
      </c>
      <c r="H486" t="str">
        <f>IF(AND($A486="Main",$F486=1),SUMPRODUCT(($A$2:$A486="Main")*($F$2:$F486=1)),"")</f>
        <v/>
      </c>
      <c r="I486" t="str">
        <f>IF(AND($A486="Dessert",$F486=1),SUMPRODUCT(($A$2:$A486="Dessert")*($F$2:$F486=1)),"")</f>
        <v/>
      </c>
      <c r="J486" t="str">
        <f>IF(AND($A486="Side",$F486=1),SUMPRODUCT(($A$2:$A486="Side")*($F$2:$F486=1)),"")</f>
        <v/>
      </c>
      <c r="K486" t="str">
        <f>IF(AND($A486="Drink",$F486=1),SUMPRODUCT(($A$2:$A486="Drink")*($F$2:$F486=1)),"")</f>
        <v/>
      </c>
      <c r="L486" t="str">
        <f>IF($F486=1,SUMPRODUCT(($F$2:$F486=1)*1),"")</f>
        <v/>
      </c>
    </row>
    <row r="487" spans="7:12">
      <c r="G487" t="str">
        <f>IF(AND($A487="Starter",$F487=1),SUMPRODUCT(($A$2:$A487="Starter")*($F$2:$F487=1)),"")</f>
        <v/>
      </c>
      <c r="H487" t="str">
        <f>IF(AND($A487="Main",$F487=1),SUMPRODUCT(($A$2:$A487="Main")*($F$2:$F487=1)),"")</f>
        <v/>
      </c>
      <c r="I487" t="str">
        <f>IF(AND($A487="Dessert",$F487=1),SUMPRODUCT(($A$2:$A487="Dessert")*($F$2:$F487=1)),"")</f>
        <v/>
      </c>
      <c r="J487" t="str">
        <f>IF(AND($A487="Side",$F487=1),SUMPRODUCT(($A$2:$A487="Side")*($F$2:$F487=1)),"")</f>
        <v/>
      </c>
      <c r="K487" t="str">
        <f>IF(AND($A487="Drink",$F487=1),SUMPRODUCT(($A$2:$A487="Drink")*($F$2:$F487=1)),"")</f>
        <v/>
      </c>
      <c r="L487" t="str">
        <f>IF($F487=1,SUMPRODUCT(($F$2:$F487=1)*1),"")</f>
        <v/>
      </c>
    </row>
    <row r="488" spans="7:12">
      <c r="G488" t="str">
        <f>IF(AND($A488="Starter",$F488=1),SUMPRODUCT(($A$2:$A488="Starter")*($F$2:$F488=1)),"")</f>
        <v/>
      </c>
      <c r="H488" t="str">
        <f>IF(AND($A488="Main",$F488=1),SUMPRODUCT(($A$2:$A488="Main")*($F$2:$F488=1)),"")</f>
        <v/>
      </c>
      <c r="I488" t="str">
        <f>IF(AND($A488="Dessert",$F488=1),SUMPRODUCT(($A$2:$A488="Dessert")*($F$2:$F488=1)),"")</f>
        <v/>
      </c>
      <c r="J488" t="str">
        <f>IF(AND($A488="Side",$F488=1),SUMPRODUCT(($A$2:$A488="Side")*($F$2:$F488=1)),"")</f>
        <v/>
      </c>
      <c r="K488" t="str">
        <f>IF(AND($A488="Drink",$F488=1),SUMPRODUCT(($A$2:$A488="Drink")*($F$2:$F488=1)),"")</f>
        <v/>
      </c>
      <c r="L488" t="str">
        <f>IF($F488=1,SUMPRODUCT(($F$2:$F488=1)*1),"")</f>
        <v/>
      </c>
    </row>
    <row r="489" spans="7:12">
      <c r="G489" t="str">
        <f>IF(AND($A489="Starter",$F489=1),SUMPRODUCT(($A$2:$A489="Starter")*($F$2:$F489=1)),"")</f>
        <v/>
      </c>
      <c r="H489" t="str">
        <f>IF(AND($A489="Main",$F489=1),SUMPRODUCT(($A$2:$A489="Main")*($F$2:$F489=1)),"")</f>
        <v/>
      </c>
      <c r="I489" t="str">
        <f>IF(AND($A489="Dessert",$F489=1),SUMPRODUCT(($A$2:$A489="Dessert")*($F$2:$F489=1)),"")</f>
        <v/>
      </c>
      <c r="J489" t="str">
        <f>IF(AND($A489="Side",$F489=1),SUMPRODUCT(($A$2:$A489="Side")*($F$2:$F489=1)),"")</f>
        <v/>
      </c>
      <c r="K489" t="str">
        <f>IF(AND($A489="Drink",$F489=1),SUMPRODUCT(($A$2:$A489="Drink")*($F$2:$F489=1)),"")</f>
        <v/>
      </c>
      <c r="L489" t="str">
        <f>IF($F489=1,SUMPRODUCT(($F$2:$F489=1)*1),"")</f>
        <v/>
      </c>
    </row>
    <row r="490" spans="7:12">
      <c r="G490" t="str">
        <f>IF(AND($A490="Starter",$F490=1),SUMPRODUCT(($A$2:$A490="Starter")*($F$2:$F490=1)),"")</f>
        <v/>
      </c>
      <c r="H490" t="str">
        <f>IF(AND($A490="Main",$F490=1),SUMPRODUCT(($A$2:$A490="Main")*($F$2:$F490=1)),"")</f>
        <v/>
      </c>
      <c r="I490" t="str">
        <f>IF(AND($A490="Dessert",$F490=1),SUMPRODUCT(($A$2:$A490="Dessert")*($F$2:$F490=1)),"")</f>
        <v/>
      </c>
      <c r="J490" t="str">
        <f>IF(AND($A490="Side",$F490=1),SUMPRODUCT(($A$2:$A490="Side")*($F$2:$F490=1)),"")</f>
        <v/>
      </c>
      <c r="K490" t="str">
        <f>IF(AND($A490="Drink",$F490=1),SUMPRODUCT(($A$2:$A490="Drink")*($F$2:$F490=1)),"")</f>
        <v/>
      </c>
      <c r="L490" t="str">
        <f>IF($F490=1,SUMPRODUCT(($F$2:$F490=1)*1),"")</f>
        <v/>
      </c>
    </row>
    <row r="491" spans="7:12">
      <c r="G491" t="str">
        <f>IF(AND($A491="Starter",$F491=1),SUMPRODUCT(($A$2:$A491="Starter")*($F$2:$F491=1)),"")</f>
        <v/>
      </c>
      <c r="H491" t="str">
        <f>IF(AND($A491="Main",$F491=1),SUMPRODUCT(($A$2:$A491="Main")*($F$2:$F491=1)),"")</f>
        <v/>
      </c>
      <c r="I491" t="str">
        <f>IF(AND($A491="Dessert",$F491=1),SUMPRODUCT(($A$2:$A491="Dessert")*($F$2:$F491=1)),"")</f>
        <v/>
      </c>
      <c r="J491" t="str">
        <f>IF(AND($A491="Side",$F491=1),SUMPRODUCT(($A$2:$A491="Side")*($F$2:$F491=1)),"")</f>
        <v/>
      </c>
      <c r="K491" t="str">
        <f>IF(AND($A491="Drink",$F491=1),SUMPRODUCT(($A$2:$A491="Drink")*($F$2:$F491=1)),"")</f>
        <v/>
      </c>
      <c r="L491" t="str">
        <f>IF($F491=1,SUMPRODUCT(($F$2:$F491=1)*1),"")</f>
        <v/>
      </c>
    </row>
    <row r="492" spans="7:12">
      <c r="G492" t="str">
        <f>IF(AND($A492="Starter",$F492=1),SUMPRODUCT(($A$2:$A492="Starter")*($F$2:$F492=1)),"")</f>
        <v/>
      </c>
      <c r="H492" t="str">
        <f>IF(AND($A492="Main",$F492=1),SUMPRODUCT(($A$2:$A492="Main")*($F$2:$F492=1)),"")</f>
        <v/>
      </c>
      <c r="I492" t="str">
        <f>IF(AND($A492="Dessert",$F492=1),SUMPRODUCT(($A$2:$A492="Dessert")*($F$2:$F492=1)),"")</f>
        <v/>
      </c>
      <c r="J492" t="str">
        <f>IF(AND($A492="Side",$F492=1),SUMPRODUCT(($A$2:$A492="Side")*($F$2:$F492=1)),"")</f>
        <v/>
      </c>
      <c r="K492" t="str">
        <f>IF(AND($A492="Drink",$F492=1),SUMPRODUCT(($A$2:$A492="Drink")*($F$2:$F492=1)),"")</f>
        <v/>
      </c>
      <c r="L492" t="str">
        <f>IF($F492=1,SUMPRODUCT(($F$2:$F492=1)*1),"")</f>
        <v/>
      </c>
    </row>
    <row r="493" spans="7:12">
      <c r="G493" t="str">
        <f>IF(AND($A493="Starter",$F493=1),SUMPRODUCT(($A$2:$A493="Starter")*($F$2:$F493=1)),"")</f>
        <v/>
      </c>
      <c r="H493" t="str">
        <f>IF(AND($A493="Main",$F493=1),SUMPRODUCT(($A$2:$A493="Main")*($F$2:$F493=1)),"")</f>
        <v/>
      </c>
      <c r="I493" t="str">
        <f>IF(AND($A493="Dessert",$F493=1),SUMPRODUCT(($A$2:$A493="Dessert")*($F$2:$F493=1)),"")</f>
        <v/>
      </c>
      <c r="J493" t="str">
        <f>IF(AND($A493="Side",$F493=1),SUMPRODUCT(($A$2:$A493="Side")*($F$2:$F493=1)),"")</f>
        <v/>
      </c>
      <c r="K493" t="str">
        <f>IF(AND($A493="Drink",$F493=1),SUMPRODUCT(($A$2:$A493="Drink")*($F$2:$F493=1)),"")</f>
        <v/>
      </c>
      <c r="L493" t="str">
        <f>IF($F493=1,SUMPRODUCT(($F$2:$F493=1)*1),"")</f>
        <v/>
      </c>
    </row>
    <row r="494" spans="7:12">
      <c r="G494" t="str">
        <f>IF(AND($A494="Starter",$F494=1),SUMPRODUCT(($A$2:$A494="Starter")*($F$2:$F494=1)),"")</f>
        <v/>
      </c>
      <c r="H494" t="str">
        <f>IF(AND($A494="Main",$F494=1),SUMPRODUCT(($A$2:$A494="Main")*($F$2:$F494=1)),"")</f>
        <v/>
      </c>
      <c r="I494" t="str">
        <f>IF(AND($A494="Dessert",$F494=1),SUMPRODUCT(($A$2:$A494="Dessert")*($F$2:$F494=1)),"")</f>
        <v/>
      </c>
      <c r="J494" t="str">
        <f>IF(AND($A494="Side",$F494=1),SUMPRODUCT(($A$2:$A494="Side")*($F$2:$F494=1)),"")</f>
        <v/>
      </c>
      <c r="K494" t="str">
        <f>IF(AND($A494="Drink",$F494=1),SUMPRODUCT(($A$2:$A494="Drink")*($F$2:$F494=1)),"")</f>
        <v/>
      </c>
      <c r="L494" t="str">
        <f>IF($F494=1,SUMPRODUCT(($F$2:$F494=1)*1),"")</f>
        <v/>
      </c>
    </row>
    <row r="495" spans="7:12">
      <c r="G495" t="str">
        <f>IF(AND($A495="Starter",$F495=1),SUMPRODUCT(($A$2:$A495="Starter")*($F$2:$F495=1)),"")</f>
        <v/>
      </c>
      <c r="H495" t="str">
        <f>IF(AND($A495="Main",$F495=1),SUMPRODUCT(($A$2:$A495="Main")*($F$2:$F495=1)),"")</f>
        <v/>
      </c>
      <c r="I495" t="str">
        <f>IF(AND($A495="Dessert",$F495=1),SUMPRODUCT(($A$2:$A495="Dessert")*($F$2:$F495=1)),"")</f>
        <v/>
      </c>
      <c r="J495" t="str">
        <f>IF(AND($A495="Side",$F495=1),SUMPRODUCT(($A$2:$A495="Side")*($F$2:$F495=1)),"")</f>
        <v/>
      </c>
      <c r="K495" t="str">
        <f>IF(AND($A495="Drink",$F495=1),SUMPRODUCT(($A$2:$A495="Drink")*($F$2:$F495=1)),"")</f>
        <v/>
      </c>
      <c r="L495" t="str">
        <f>IF($F495=1,SUMPRODUCT(($F$2:$F495=1)*1),"")</f>
        <v/>
      </c>
    </row>
    <row r="496" spans="7:12">
      <c r="G496" t="str">
        <f>IF(AND($A496="Starter",$F496=1),SUMPRODUCT(($A$2:$A496="Starter")*($F$2:$F496=1)),"")</f>
        <v/>
      </c>
      <c r="H496" t="str">
        <f>IF(AND($A496="Main",$F496=1),SUMPRODUCT(($A$2:$A496="Main")*($F$2:$F496=1)),"")</f>
        <v/>
      </c>
      <c r="I496" t="str">
        <f>IF(AND($A496="Dessert",$F496=1),SUMPRODUCT(($A$2:$A496="Dessert")*($F$2:$F496=1)),"")</f>
        <v/>
      </c>
      <c r="J496" t="str">
        <f>IF(AND($A496="Side",$F496=1),SUMPRODUCT(($A$2:$A496="Side")*($F$2:$F496=1)),"")</f>
        <v/>
      </c>
      <c r="K496" t="str">
        <f>IF(AND($A496="Drink",$F496=1),SUMPRODUCT(($A$2:$A496="Drink")*($F$2:$F496=1)),"")</f>
        <v/>
      </c>
      <c r="L496" t="str">
        <f>IF($F496=1,SUMPRODUCT(($F$2:$F496=1)*1),"")</f>
        <v/>
      </c>
    </row>
    <row r="497" spans="7:12">
      <c r="G497" t="str">
        <f>IF(AND($A497="Starter",$F497=1),SUMPRODUCT(($A$2:$A497="Starter")*($F$2:$F497=1)),"")</f>
        <v/>
      </c>
      <c r="H497" t="str">
        <f>IF(AND($A497="Main",$F497=1),SUMPRODUCT(($A$2:$A497="Main")*($F$2:$F497=1)),"")</f>
        <v/>
      </c>
      <c r="I497" t="str">
        <f>IF(AND($A497="Dessert",$F497=1),SUMPRODUCT(($A$2:$A497="Dessert")*($F$2:$F497=1)),"")</f>
        <v/>
      </c>
      <c r="J497" t="str">
        <f>IF(AND($A497="Side",$F497=1),SUMPRODUCT(($A$2:$A497="Side")*($F$2:$F497=1)),"")</f>
        <v/>
      </c>
      <c r="K497" t="str">
        <f>IF(AND($A497="Drink",$F497=1),SUMPRODUCT(($A$2:$A497="Drink")*($F$2:$F497=1)),"")</f>
        <v/>
      </c>
      <c r="L497" t="str">
        <f>IF($F497=1,SUMPRODUCT(($F$2:$F497=1)*1),"")</f>
        <v/>
      </c>
    </row>
    <row r="498" spans="7:12">
      <c r="G498" t="str">
        <f>IF(AND($A498="Starter",$F498=1),SUMPRODUCT(($A$2:$A498="Starter")*($F$2:$F498=1)),"")</f>
        <v/>
      </c>
      <c r="H498" t="str">
        <f>IF(AND($A498="Main",$F498=1),SUMPRODUCT(($A$2:$A498="Main")*($F$2:$F498=1)),"")</f>
        <v/>
      </c>
      <c r="I498" t="str">
        <f>IF(AND($A498="Dessert",$F498=1),SUMPRODUCT(($A$2:$A498="Dessert")*($F$2:$F498=1)),"")</f>
        <v/>
      </c>
      <c r="J498" t="str">
        <f>IF(AND($A498="Side",$F498=1),SUMPRODUCT(($A$2:$A498="Side")*($F$2:$F498=1)),"")</f>
        <v/>
      </c>
      <c r="K498" t="str">
        <f>IF(AND($A498="Drink",$F498=1),SUMPRODUCT(($A$2:$A498="Drink")*($F$2:$F498=1)),"")</f>
        <v/>
      </c>
      <c r="L498" t="str">
        <f>IF($F498=1,SUMPRODUCT(($F$2:$F498=1)*1),"")</f>
        <v/>
      </c>
    </row>
    <row r="499" spans="7:12">
      <c r="G499" t="str">
        <f>IF(AND($A499="Starter",$F499=1),SUMPRODUCT(($A$2:$A499="Starter")*($F$2:$F499=1)),"")</f>
        <v/>
      </c>
      <c r="H499" t="str">
        <f>IF(AND($A499="Main",$F499=1),SUMPRODUCT(($A$2:$A499="Main")*($F$2:$F499=1)),"")</f>
        <v/>
      </c>
      <c r="I499" t="str">
        <f>IF(AND($A499="Dessert",$F499=1),SUMPRODUCT(($A$2:$A499="Dessert")*($F$2:$F499=1)),"")</f>
        <v/>
      </c>
      <c r="J499" t="str">
        <f>IF(AND($A499="Side",$F499=1),SUMPRODUCT(($A$2:$A499="Side")*($F$2:$F499=1)),"")</f>
        <v/>
      </c>
      <c r="K499" t="str">
        <f>IF(AND($A499="Drink",$F499=1),SUMPRODUCT(($A$2:$A499="Drink")*($F$2:$F499=1)),"")</f>
        <v/>
      </c>
      <c r="L499" t="str">
        <f>IF($F499=1,SUMPRODUCT(($F$2:$F499=1)*1),"")</f>
        <v/>
      </c>
    </row>
    <row r="500" spans="7:12">
      <c r="G500" t="str">
        <f>IF(AND($A500="Starter",$F500=1),SUMPRODUCT(($A$2:$A500="Starter")*($F$2:$F500=1)),"")</f>
        <v/>
      </c>
      <c r="H500" t="str">
        <f>IF(AND($A500="Main",$F500=1),SUMPRODUCT(($A$2:$A500="Main")*($F$2:$F500=1)),"")</f>
        <v/>
      </c>
      <c r="I500" t="str">
        <f>IF(AND($A500="Dessert",$F500=1),SUMPRODUCT(($A$2:$A500="Dessert")*($F$2:$F500=1)),"")</f>
        <v/>
      </c>
      <c r="J500" t="str">
        <f>IF(AND($A500="Side",$F500=1),SUMPRODUCT(($A$2:$A500="Side")*($F$2:$F500=1)),"")</f>
        <v/>
      </c>
      <c r="K500" t="str">
        <f>IF(AND($A500="Drink",$F500=1),SUMPRODUCT(($A$2:$A500="Drink")*($F$2:$F500=1)),"")</f>
        <v/>
      </c>
      <c r="L500" t="str">
        <f>IF($F500=1,SUMPRODUCT(($F$2:$F500=1)*1),"")</f>
        <v/>
      </c>
    </row>
    <row r="501" spans="7:12">
      <c r="G501" t="str">
        <f>IF(AND($A501="Starter",$F501=1),SUMPRODUCT(($A$2:$A501="Starter")*($F$2:$F501=1)),"")</f>
        <v/>
      </c>
      <c r="H501" t="str">
        <f>IF(AND($A501="Main",$F501=1),SUMPRODUCT(($A$2:$A501="Main")*($F$2:$F501=1)),"")</f>
        <v/>
      </c>
      <c r="I501" t="str">
        <f>IF(AND($A501="Dessert",$F501=1),SUMPRODUCT(($A$2:$A501="Dessert")*($F$2:$F501=1)),"")</f>
        <v/>
      </c>
      <c r="J501" t="str">
        <f>IF(AND($A501="Side",$F501=1),SUMPRODUCT(($A$2:$A501="Side")*($F$2:$F501=1)),"")</f>
        <v/>
      </c>
      <c r="K501" t="str">
        <f>IF(AND($A501="Drink",$F501=1),SUMPRODUCT(($A$2:$A501="Drink")*($F$2:$F501=1)),"")</f>
        <v/>
      </c>
      <c r="L501" t="str">
        <f>IF($F501=1,SUMPRODUCT(($F$2:$F501=1)*1),"")</f>
        <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1"/>
  <sheetViews>
    <sheetView workbookViewId="0">
      <selection activeCell="A16" sqref="A16"/>
    </sheetView>
  </sheetViews>
  <sheetFormatPr defaultRowHeight="15"/>
  <cols>
    <col min="1" max="1" width="23.140625" customWidth="1"/>
    <col min="2" max="2" width="28.140625" customWidth="1"/>
    <col min="3" max="3" width="33.42578125" customWidth="1"/>
    <col min="5" max="5" width="19" customWidth="1"/>
    <col min="6" max="6" width="43.85546875" customWidth="1"/>
  </cols>
  <sheetData>
    <row r="1" spans="1:6">
      <c r="A1" t="s">
        <v>34</v>
      </c>
      <c r="B1" t="s">
        <v>35</v>
      </c>
      <c r="C1" t="s">
        <v>36</v>
      </c>
      <c r="D1" t="s">
        <v>37</v>
      </c>
      <c r="E1" t="s">
        <v>38</v>
      </c>
      <c r="F1" t="s">
        <v>39</v>
      </c>
    </row>
    <row r="2" spans="1:6">
      <c r="A2" t="str">
        <f>IFERROR(INDEX(Menu!$B$2:$B$500, MATCH(1, Menu!$G$2:$G$500, 0)),"")</f>
        <v>Whipped Feta</v>
      </c>
      <c r="B2" t="str">
        <f>IFERROR(INDEX(Menu!$B$2:$B$500, MATCH(1, Menu!$H$2:$H$500, 0)),"")</f>
        <v>Turkey Ballotine</v>
      </c>
      <c r="C2" t="str">
        <f>IFERROR(INDEX(Menu!$B$2:$B$500, MATCH(1, Menu!$I$2:$I$500, 0)),"")</f>
        <v>Tiramisu Amici</v>
      </c>
      <c r="D2" t="str">
        <f>IFERROR(INDEX(Menu!$B$2:$B$500, MATCH(1, Menu!$J$2:$J$500, 0)),"")</f>
        <v/>
      </c>
      <c r="E2" t="str">
        <f>IFERROR(INDEX(Menu!$B$2:$B$500, MATCH(1, Menu!$K$2:$K$500, 0)),"")</f>
        <v/>
      </c>
      <c r="F2" t="str">
        <f>IFERROR(INDEX(Menu!$B$2:$B$500, MATCH(1, Menu!$L$2:$L$500, 0)),"")</f>
        <v>Whipped Feta</v>
      </c>
    </row>
    <row r="3" spans="1:6">
      <c r="A3" t="str">
        <f>IFERROR(INDEX(Menu!$B$2:$B$500, MATCH(2, Menu!$G$2:$G$500, 0)),"")</f>
        <v>Aubergine Trio</v>
      </c>
      <c r="B3" t="str">
        <f>IFERROR(INDEX(Menu!$B$2:$B$500, MATCH(2, Menu!$H$2:$H$500, 0)),"")</f>
        <v xml:space="preserve">Beef Bourguignon </v>
      </c>
      <c r="C3" t="str">
        <f>IFERROR(INDEX(Menu!$B$2:$B$500, MATCH(2, Menu!$I$2:$I$500, 0)),"")</f>
        <v>Rosewater Baklava</v>
      </c>
      <c r="D3" t="str">
        <f>IFERROR(INDEX(Menu!$B$2:$B$500, MATCH(2, Menu!$J$2:$J$500, 0)),"")</f>
        <v/>
      </c>
      <c r="E3" t="str">
        <f>IFERROR(INDEX(Menu!$B$2:$B$500, MATCH(2, Menu!$K$2:$K$500, 0)),"")</f>
        <v/>
      </c>
      <c r="F3" t="str">
        <f>IFERROR(INDEX(Menu!$B$2:$B$500, MATCH(2, Menu!$L$2:$L$500, 0)),"")</f>
        <v>Aubergine Trio</v>
      </c>
    </row>
    <row r="4" spans="1:6">
      <c r="A4" t="str">
        <f>IFERROR(INDEX(Menu!$B$2:$B$500, MATCH(3, Menu!$G$2:$G$500, 0)),"")</f>
        <v xml:space="preserve">Ash Reshteh </v>
      </c>
      <c r="B4" t="str">
        <f>IFERROR(INDEX(Menu!$B$2:$B$500, MATCH(3, Menu!$H$2:$H$500, 0)),"")</f>
        <v>Monkfish</v>
      </c>
      <c r="C4" t="str">
        <f>IFERROR(INDEX(Menu!$B$2:$B$500, MATCH(3, Menu!$I$2:$I$500, 0)),"")</f>
        <v>Bread &amp; Butter Pudding</v>
      </c>
      <c r="D4" t="str">
        <f>IFERROR(INDEX(Menu!$B$2:$B$500, MATCH(3, Menu!$J$2:$J$500, 0)),"")</f>
        <v/>
      </c>
      <c r="E4" t="str">
        <f>IFERROR(INDEX(Menu!$B$2:$B$500, MATCH(3, Menu!$K$2:$K$500, 0)),"")</f>
        <v/>
      </c>
      <c r="F4" t="str">
        <f>IFERROR(INDEX(Menu!$B$2:$B$500, MATCH(3, Menu!$L$2:$L$500, 0)),"")</f>
        <v xml:space="preserve">Ash Reshteh </v>
      </c>
    </row>
    <row r="5" spans="1:6">
      <c r="A5" t="str">
        <f>IFERROR(INDEX(Menu!$B$2:$B$500, MATCH(4, Menu!$G$2:$G$500, 0)),"")</f>
        <v>Beetroot Cured Salmon</v>
      </c>
      <c r="B5" t="str">
        <f>IFERROR(INDEX(Menu!$B$2:$B$500, MATCH(4, Menu!$H$2:$H$500, 0)),"")</f>
        <v>Roasted Pork Belly</v>
      </c>
      <c r="C5" t="str">
        <f>IFERROR(INDEX(Menu!$B$2:$B$500, MATCH(4, Menu!$I$2:$I$500, 0)),"")</f>
        <v/>
      </c>
      <c r="D5" t="str">
        <f>IFERROR(INDEX(Menu!$B$2:$B$500, MATCH(4, Menu!$J$2:$J$500, 0)),"")</f>
        <v/>
      </c>
      <c r="E5" t="str">
        <f>IFERROR(INDEX(Menu!$B$2:$B$500, MATCH(4, Menu!$K$2:$K$500, 0)),"")</f>
        <v/>
      </c>
      <c r="F5" t="str">
        <f>IFERROR(INDEX(Menu!$B$2:$B$500, MATCH(4, Menu!$L$2:$L$500, 0)),"")</f>
        <v>Beetroot Cured Salmon</v>
      </c>
    </row>
    <row r="6" spans="1:6">
      <c r="A6" t="str">
        <f>IFERROR(INDEX(Menu!$B$2:$B$500, MATCH(5, Menu!$G$2:$G$500, 0)),"")</f>
        <v/>
      </c>
      <c r="B6" t="str">
        <f>IFERROR(INDEX(Menu!$B$2:$B$500, MATCH(5, Menu!$H$2:$H$500, 0)),"")</f>
        <v>Beetroot Risotto</v>
      </c>
      <c r="C6" t="str">
        <f>IFERROR(INDEX(Menu!$B$2:$B$500, MATCH(5, Menu!$I$2:$I$500, 0)),"")</f>
        <v/>
      </c>
      <c r="D6" t="str">
        <f>IFERROR(INDEX(Menu!$B$2:$B$500, MATCH(5, Menu!$J$2:$J$500, 0)),"")</f>
        <v/>
      </c>
      <c r="E6" t="str">
        <f>IFERROR(INDEX(Menu!$B$2:$B$500, MATCH(5, Menu!$K$2:$K$500, 0)),"")</f>
        <v/>
      </c>
      <c r="F6" t="str">
        <f>IFERROR(INDEX(Menu!$B$2:$B$500, MATCH(5, Menu!$L$2:$L$500, 0)),"")</f>
        <v>Turkey Ballotine</v>
      </c>
    </row>
    <row r="7" spans="1:6">
      <c r="A7" t="str">
        <f>IFERROR(INDEX(Menu!$B$2:$B$500, MATCH(6, Menu!$G$2:$G$500, 0)),"")</f>
        <v/>
      </c>
      <c r="B7" t="str">
        <f>IFERROR(INDEX(Menu!$B$2:$B$500, MATCH(6, Menu!$H$2:$H$500, 0)),"")</f>
        <v/>
      </c>
      <c r="C7" t="str">
        <f>IFERROR(INDEX(Menu!$B$2:$B$500, MATCH(6, Menu!$I$2:$I$500, 0)),"")</f>
        <v/>
      </c>
      <c r="D7" t="str">
        <f>IFERROR(INDEX(Menu!$B$2:$B$500, MATCH(6, Menu!$J$2:$J$500, 0)),"")</f>
        <v/>
      </c>
      <c r="E7" t="str">
        <f>IFERROR(INDEX(Menu!$B$2:$B$500, MATCH(6, Menu!$K$2:$K$500, 0)),"")</f>
        <v/>
      </c>
      <c r="F7" t="str">
        <f>IFERROR(INDEX(Menu!$B$2:$B$500, MATCH(6, Menu!$L$2:$L$500, 0)),"")</f>
        <v xml:space="preserve">Beef Bourguignon </v>
      </c>
    </row>
    <row r="8" spans="1:6">
      <c r="A8" t="str">
        <f>IFERROR(INDEX(Menu!$B$2:$B$500, MATCH(7, Menu!$G$2:$G$500, 0)),"")</f>
        <v/>
      </c>
      <c r="B8" t="str">
        <f>IFERROR(INDEX(Menu!$B$2:$B$500, MATCH(7, Menu!$H$2:$H$500, 0)),"")</f>
        <v/>
      </c>
      <c r="C8" t="str">
        <f>IFERROR(INDEX(Menu!$B$2:$B$500, MATCH(7, Menu!$I$2:$I$500, 0)),"")</f>
        <v/>
      </c>
      <c r="D8" t="str">
        <f>IFERROR(INDEX(Menu!$B$2:$B$500, MATCH(7, Menu!$J$2:$J$500, 0)),"")</f>
        <v/>
      </c>
      <c r="E8" t="str">
        <f>IFERROR(INDEX(Menu!$B$2:$B$500, MATCH(7, Menu!$K$2:$K$500, 0)),"")</f>
        <v/>
      </c>
      <c r="F8" t="str">
        <f>IFERROR(INDEX(Menu!$B$2:$B$500, MATCH(7, Menu!$L$2:$L$500, 0)),"")</f>
        <v>Monkfish</v>
      </c>
    </row>
    <row r="9" spans="1:6">
      <c r="A9" t="str">
        <f>IFERROR(INDEX(Menu!$B$2:$B$500, MATCH(8, Menu!$G$2:$G$500, 0)),"")</f>
        <v/>
      </c>
      <c r="B9" t="str">
        <f>IFERROR(INDEX(Menu!$B$2:$B$500, MATCH(8, Menu!$H$2:$H$500, 0)),"")</f>
        <v/>
      </c>
      <c r="C9" t="str">
        <f>IFERROR(INDEX(Menu!$B$2:$B$500, MATCH(8, Menu!$I$2:$I$500, 0)),"")</f>
        <v/>
      </c>
      <c r="D9" t="str">
        <f>IFERROR(INDEX(Menu!$B$2:$B$500, MATCH(8, Menu!$J$2:$J$500, 0)),"")</f>
        <v/>
      </c>
      <c r="E9" t="str">
        <f>IFERROR(INDEX(Menu!$B$2:$B$500, MATCH(8, Menu!$K$2:$K$500, 0)),"")</f>
        <v/>
      </c>
      <c r="F9" t="str">
        <f>IFERROR(INDEX(Menu!$B$2:$B$500, MATCH(8, Menu!$L$2:$L$500, 0)),"")</f>
        <v>Roasted Pork Belly</v>
      </c>
    </row>
    <row r="10" spans="1:6">
      <c r="A10" t="str">
        <f>IFERROR(INDEX(Menu!$B$2:$B$500, MATCH(9, Menu!$G$2:$G$500, 0)),"")</f>
        <v/>
      </c>
      <c r="B10" t="str">
        <f>IFERROR(INDEX(Menu!$B$2:$B$500, MATCH(9, Menu!$H$2:$H$500, 0)),"")</f>
        <v/>
      </c>
      <c r="C10" t="str">
        <f>IFERROR(INDEX(Menu!$B$2:$B$500, MATCH(9, Menu!$I$2:$I$500, 0)),"")</f>
        <v/>
      </c>
      <c r="D10" t="str">
        <f>IFERROR(INDEX(Menu!$B$2:$B$500, MATCH(9, Menu!$J$2:$J$500, 0)),"")</f>
        <v/>
      </c>
      <c r="E10" t="str">
        <f>IFERROR(INDEX(Menu!$B$2:$B$500, MATCH(9, Menu!$K$2:$K$500, 0)),"")</f>
        <v/>
      </c>
      <c r="F10" t="str">
        <f>IFERROR(INDEX(Menu!$B$2:$B$500, MATCH(9, Menu!$L$2:$L$500, 0)),"")</f>
        <v>Beetroot Risotto</v>
      </c>
    </row>
    <row r="11" spans="1:6">
      <c r="A11" t="str">
        <f>IFERROR(INDEX(Menu!$B$2:$B$500, MATCH(10, Menu!$G$2:$G$500, 0)),"")</f>
        <v/>
      </c>
      <c r="B11" t="str">
        <f>IFERROR(INDEX(Menu!$B$2:$B$500, MATCH(10, Menu!$H$2:$H$500, 0)),"")</f>
        <v/>
      </c>
      <c r="C11" t="str">
        <f>IFERROR(INDEX(Menu!$B$2:$B$500, MATCH(10, Menu!$I$2:$I$500, 0)),"")</f>
        <v/>
      </c>
      <c r="D11" t="str">
        <f>IFERROR(INDEX(Menu!$B$2:$B$500, MATCH(10, Menu!$J$2:$J$500, 0)),"")</f>
        <v/>
      </c>
      <c r="E11" t="str">
        <f>IFERROR(INDEX(Menu!$B$2:$B$500, MATCH(10, Menu!$K$2:$K$500, 0)),"")</f>
        <v/>
      </c>
      <c r="F11" t="str">
        <f>IFERROR(INDEX(Menu!$B$2:$B$500, MATCH(10, Menu!$L$2:$L$500, 0)),"")</f>
        <v>Tiramisu Amici</v>
      </c>
    </row>
    <row r="12" spans="1:6">
      <c r="A12" t="str">
        <f>IFERROR(INDEX(Menu!$B$2:$B$500, MATCH(11, Menu!$G$2:$G$500, 0)),"")</f>
        <v/>
      </c>
      <c r="B12" t="str">
        <f>IFERROR(INDEX(Menu!$B$2:$B$500, MATCH(11, Menu!$H$2:$H$500, 0)),"")</f>
        <v/>
      </c>
      <c r="C12" t="str">
        <f>IFERROR(INDEX(Menu!$B$2:$B$500, MATCH(11, Menu!$I$2:$I$500, 0)),"")</f>
        <v/>
      </c>
      <c r="D12" t="str">
        <f>IFERROR(INDEX(Menu!$B$2:$B$500, MATCH(11, Menu!$J$2:$J$500, 0)),"")</f>
        <v/>
      </c>
      <c r="E12" t="str">
        <f>IFERROR(INDEX(Menu!$B$2:$B$500, MATCH(11, Menu!$K$2:$K$500, 0)),"")</f>
        <v/>
      </c>
      <c r="F12" t="str">
        <f>IFERROR(INDEX(Menu!$B$2:$B$500, MATCH(11, Menu!$L$2:$L$500, 0)),"")</f>
        <v>Rosewater Baklava</v>
      </c>
    </row>
    <row r="13" spans="1:6">
      <c r="A13" t="str">
        <f>IFERROR(INDEX(Menu!$B$2:$B$500, MATCH(12, Menu!$G$2:$G$500, 0)),"")</f>
        <v/>
      </c>
      <c r="B13" t="str">
        <f>IFERROR(INDEX(Menu!$B$2:$B$500, MATCH(12, Menu!$H$2:$H$500, 0)),"")</f>
        <v/>
      </c>
      <c r="C13" t="str">
        <f>IFERROR(INDEX(Menu!$B$2:$B$500, MATCH(12, Menu!$I$2:$I$500, 0)),"")</f>
        <v/>
      </c>
      <c r="D13" t="str">
        <f>IFERROR(INDEX(Menu!$B$2:$B$500, MATCH(12, Menu!$J$2:$J$500, 0)),"")</f>
        <v/>
      </c>
      <c r="E13" t="str">
        <f>IFERROR(INDEX(Menu!$B$2:$B$500, MATCH(12, Menu!$K$2:$K$500, 0)),"")</f>
        <v/>
      </c>
      <c r="F13" t="str">
        <f>IFERROR(INDEX(Menu!$B$2:$B$500, MATCH(12, Menu!$L$2:$L$500, 0)),"")</f>
        <v>Bread &amp; Butter Pudding</v>
      </c>
    </row>
    <row r="14" spans="1:6">
      <c r="A14" t="str">
        <f>IFERROR(INDEX(Menu!$B$2:$B$500, MATCH(13, Menu!$G$2:$G$500, 0)),"")</f>
        <v/>
      </c>
      <c r="B14" t="str">
        <f>IFERROR(INDEX(Menu!$B$2:$B$500, MATCH(13, Menu!$H$2:$H$500, 0)),"")</f>
        <v/>
      </c>
      <c r="C14" t="str">
        <f>IFERROR(INDEX(Menu!$B$2:$B$500, MATCH(13, Menu!$I$2:$I$500, 0)),"")</f>
        <v/>
      </c>
      <c r="D14" t="str">
        <f>IFERROR(INDEX(Menu!$B$2:$B$500, MATCH(13, Menu!$J$2:$J$500, 0)),"")</f>
        <v/>
      </c>
      <c r="E14" t="str">
        <f>IFERROR(INDEX(Menu!$B$2:$B$500, MATCH(13, Menu!$K$2:$K$500, 0)),"")</f>
        <v/>
      </c>
      <c r="F14" t="str">
        <f>IFERROR(INDEX(Menu!$B$2:$B$500, MATCH(13, Menu!$L$2:$L$500, 0)),"")</f>
        <v/>
      </c>
    </row>
    <row r="15" spans="1:6">
      <c r="A15" t="str">
        <f>IFERROR(INDEX(Menu!$B$2:$B$500, MATCH(14, Menu!$G$2:$G$500, 0)),"")</f>
        <v/>
      </c>
      <c r="B15" t="str">
        <f>IFERROR(INDEX(Menu!$B$2:$B$500, MATCH(14, Menu!$H$2:$H$500, 0)),"")</f>
        <v/>
      </c>
      <c r="C15" t="str">
        <f>IFERROR(INDEX(Menu!$B$2:$B$500, MATCH(14, Menu!$I$2:$I$500, 0)),"")</f>
        <v/>
      </c>
      <c r="D15" t="str">
        <f>IFERROR(INDEX(Menu!$B$2:$B$500, MATCH(14, Menu!$J$2:$J$500, 0)),"")</f>
        <v/>
      </c>
      <c r="E15" t="str">
        <f>IFERROR(INDEX(Menu!$B$2:$B$500, MATCH(14, Menu!$K$2:$K$500, 0)),"")</f>
        <v/>
      </c>
      <c r="F15" t="str">
        <f>IFERROR(INDEX(Menu!$B$2:$B$500, MATCH(14, Menu!$L$2:$L$500, 0)),"")</f>
        <v/>
      </c>
    </row>
    <row r="16" spans="1:6">
      <c r="A16" t="str">
        <f>IFERROR(INDEX(Menu!$B$2:$B$500, MATCH(15, Menu!$G$2:$G$500, 0)),"")</f>
        <v/>
      </c>
      <c r="B16" t="str">
        <f>IFERROR(INDEX(Menu!$B$2:$B$500, MATCH(15, Menu!$H$2:$H$500, 0)),"")</f>
        <v/>
      </c>
      <c r="C16" t="str">
        <f>IFERROR(INDEX(Menu!$B$2:$B$500, MATCH(15, Menu!$I$2:$I$500, 0)),"")</f>
        <v/>
      </c>
      <c r="D16" t="str">
        <f>IFERROR(INDEX(Menu!$B$2:$B$500, MATCH(15, Menu!$J$2:$J$500, 0)),"")</f>
        <v/>
      </c>
      <c r="E16" t="str">
        <f>IFERROR(INDEX(Menu!$B$2:$B$500, MATCH(15, Menu!$K$2:$K$500, 0)),"")</f>
        <v/>
      </c>
      <c r="F16" t="str">
        <f>IFERROR(INDEX(Menu!$B$2:$B$500, MATCH(15, Menu!$L$2:$L$500, 0)),"")</f>
        <v/>
      </c>
    </row>
    <row r="17" spans="1:6">
      <c r="A17" t="str">
        <f>IFERROR(INDEX(Menu!$B$2:$B$500, MATCH(16, Menu!$G$2:$G$500, 0)),"")</f>
        <v/>
      </c>
      <c r="B17" t="str">
        <f>IFERROR(INDEX(Menu!$B$2:$B$500, MATCH(16, Menu!$H$2:$H$500, 0)),"")</f>
        <v/>
      </c>
      <c r="C17" t="str">
        <f>IFERROR(INDEX(Menu!$B$2:$B$500, MATCH(16, Menu!$I$2:$I$500, 0)),"")</f>
        <v/>
      </c>
      <c r="D17" t="str">
        <f>IFERROR(INDEX(Menu!$B$2:$B$500, MATCH(16, Menu!$J$2:$J$500, 0)),"")</f>
        <v/>
      </c>
      <c r="E17" t="str">
        <f>IFERROR(INDEX(Menu!$B$2:$B$500, MATCH(16, Menu!$K$2:$K$500, 0)),"")</f>
        <v/>
      </c>
      <c r="F17" t="str">
        <f>IFERROR(INDEX(Menu!$B$2:$B$500, MATCH(16, Menu!$L$2:$L$500, 0)),"")</f>
        <v/>
      </c>
    </row>
    <row r="18" spans="1:6">
      <c r="A18" t="str">
        <f>IFERROR(INDEX(Menu!$B$2:$B$500, MATCH(17, Menu!$G$2:$G$500, 0)),"")</f>
        <v/>
      </c>
      <c r="B18" t="str">
        <f>IFERROR(INDEX(Menu!$B$2:$B$500, MATCH(17, Menu!$H$2:$H$500, 0)),"")</f>
        <v/>
      </c>
      <c r="C18" t="str">
        <f>IFERROR(INDEX(Menu!$B$2:$B$500, MATCH(17, Menu!$I$2:$I$500, 0)),"")</f>
        <v/>
      </c>
      <c r="D18" t="str">
        <f>IFERROR(INDEX(Menu!$B$2:$B$500, MATCH(17, Menu!$J$2:$J$500, 0)),"")</f>
        <v/>
      </c>
      <c r="E18" t="str">
        <f>IFERROR(INDEX(Menu!$B$2:$B$500, MATCH(17, Menu!$K$2:$K$500, 0)),"")</f>
        <v/>
      </c>
      <c r="F18" t="str">
        <f>IFERROR(INDEX(Menu!$B$2:$B$500, MATCH(17, Menu!$L$2:$L$500, 0)),"")</f>
        <v/>
      </c>
    </row>
    <row r="19" spans="1:6">
      <c r="A19" t="str">
        <f>IFERROR(INDEX(Menu!$B$2:$B$500, MATCH(18, Menu!$G$2:$G$500, 0)),"")</f>
        <v/>
      </c>
      <c r="B19" t="str">
        <f>IFERROR(INDEX(Menu!$B$2:$B$500, MATCH(18, Menu!$H$2:$H$500, 0)),"")</f>
        <v/>
      </c>
      <c r="C19" t="str">
        <f>IFERROR(INDEX(Menu!$B$2:$B$500, MATCH(18, Menu!$I$2:$I$500, 0)),"")</f>
        <v/>
      </c>
      <c r="D19" t="str">
        <f>IFERROR(INDEX(Menu!$B$2:$B$500, MATCH(18, Menu!$J$2:$J$500, 0)),"")</f>
        <v/>
      </c>
      <c r="E19" t="str">
        <f>IFERROR(INDEX(Menu!$B$2:$B$500, MATCH(18, Menu!$K$2:$K$500, 0)),"")</f>
        <v/>
      </c>
      <c r="F19" t="str">
        <f>IFERROR(INDEX(Menu!$B$2:$B$500, MATCH(18, Menu!$L$2:$L$500, 0)),"")</f>
        <v/>
      </c>
    </row>
    <row r="20" spans="1:6">
      <c r="A20" t="str">
        <f>IFERROR(INDEX(Menu!$B$2:$B$500, MATCH(19, Menu!$G$2:$G$500, 0)),"")</f>
        <v/>
      </c>
      <c r="B20" t="str">
        <f>IFERROR(INDEX(Menu!$B$2:$B$500, MATCH(19, Menu!$H$2:$H$500, 0)),"")</f>
        <v/>
      </c>
      <c r="C20" t="str">
        <f>IFERROR(INDEX(Menu!$B$2:$B$500, MATCH(19, Menu!$I$2:$I$500, 0)),"")</f>
        <v/>
      </c>
      <c r="D20" t="str">
        <f>IFERROR(INDEX(Menu!$B$2:$B$500, MATCH(19, Menu!$J$2:$J$500, 0)),"")</f>
        <v/>
      </c>
      <c r="E20" t="str">
        <f>IFERROR(INDEX(Menu!$B$2:$B$500, MATCH(19, Menu!$K$2:$K$500, 0)),"")</f>
        <v/>
      </c>
      <c r="F20" t="str">
        <f>IFERROR(INDEX(Menu!$B$2:$B$500, MATCH(19, Menu!$L$2:$L$500, 0)),"")</f>
        <v/>
      </c>
    </row>
    <row r="21" spans="1:6">
      <c r="A21" t="str">
        <f>IFERROR(INDEX(Menu!$B$2:$B$500, MATCH(20, Menu!$G$2:$G$500, 0)),"")</f>
        <v/>
      </c>
      <c r="B21" t="str">
        <f>IFERROR(INDEX(Menu!$B$2:$B$500, MATCH(20, Menu!$H$2:$H$500, 0)),"")</f>
        <v/>
      </c>
      <c r="C21" t="str">
        <f>IFERROR(INDEX(Menu!$B$2:$B$500, MATCH(20, Menu!$I$2:$I$500, 0)),"")</f>
        <v/>
      </c>
      <c r="D21" t="str">
        <f>IFERROR(INDEX(Menu!$B$2:$B$500, MATCH(20, Menu!$J$2:$J$500, 0)),"")</f>
        <v/>
      </c>
      <c r="E21" t="str">
        <f>IFERROR(INDEX(Menu!$B$2:$B$500, MATCH(20, Menu!$K$2:$K$500, 0)),"")</f>
        <v/>
      </c>
      <c r="F21" t="str">
        <f>IFERROR(INDEX(Menu!$B$2:$B$500, MATCH(20, Menu!$L$2:$L$500, 0)),"")</f>
        <v/>
      </c>
    </row>
    <row r="22" spans="1:6">
      <c r="A22" t="str">
        <f>IFERROR(INDEX(Menu!$B$2:$B$500, MATCH(21, Menu!$G$2:$G$500, 0)),"")</f>
        <v/>
      </c>
      <c r="B22" t="str">
        <f>IFERROR(INDEX(Menu!$B$2:$B$500, MATCH(21, Menu!$H$2:$H$500, 0)),"")</f>
        <v/>
      </c>
      <c r="C22" t="str">
        <f>IFERROR(INDEX(Menu!$B$2:$B$500, MATCH(21, Menu!$I$2:$I$500, 0)),"")</f>
        <v/>
      </c>
      <c r="D22" t="str">
        <f>IFERROR(INDEX(Menu!$B$2:$B$500, MATCH(21, Menu!$J$2:$J$500, 0)),"")</f>
        <v/>
      </c>
      <c r="E22" t="str">
        <f>IFERROR(INDEX(Menu!$B$2:$B$500, MATCH(21, Menu!$K$2:$K$500, 0)),"")</f>
        <v/>
      </c>
      <c r="F22" t="str">
        <f>IFERROR(INDEX(Menu!$B$2:$B$500, MATCH(21, Menu!$L$2:$L$500, 0)),"")</f>
        <v/>
      </c>
    </row>
    <row r="23" spans="1:6">
      <c r="A23" t="str">
        <f>IFERROR(INDEX(Menu!$B$2:$B$500, MATCH(22, Menu!$G$2:$G$500, 0)),"")</f>
        <v/>
      </c>
      <c r="B23" t="str">
        <f>IFERROR(INDEX(Menu!$B$2:$B$500, MATCH(22, Menu!$H$2:$H$500, 0)),"")</f>
        <v/>
      </c>
      <c r="C23" t="str">
        <f>IFERROR(INDEX(Menu!$B$2:$B$500, MATCH(22, Menu!$I$2:$I$500, 0)),"")</f>
        <v/>
      </c>
      <c r="D23" t="str">
        <f>IFERROR(INDEX(Menu!$B$2:$B$500, MATCH(22, Menu!$J$2:$J$500, 0)),"")</f>
        <v/>
      </c>
      <c r="E23" t="str">
        <f>IFERROR(INDEX(Menu!$B$2:$B$500, MATCH(22, Menu!$K$2:$K$500, 0)),"")</f>
        <v/>
      </c>
      <c r="F23" t="str">
        <f>IFERROR(INDEX(Menu!$B$2:$B$500, MATCH(22, Menu!$L$2:$L$500, 0)),"")</f>
        <v/>
      </c>
    </row>
    <row r="24" spans="1:6">
      <c r="A24" t="str">
        <f>IFERROR(INDEX(Menu!$B$2:$B$500, MATCH(23, Menu!$G$2:$G$500, 0)),"")</f>
        <v/>
      </c>
      <c r="B24" t="str">
        <f>IFERROR(INDEX(Menu!$B$2:$B$500, MATCH(23, Menu!$H$2:$H$500, 0)),"")</f>
        <v/>
      </c>
      <c r="C24" t="str">
        <f>IFERROR(INDEX(Menu!$B$2:$B$500, MATCH(23, Menu!$I$2:$I$500, 0)),"")</f>
        <v/>
      </c>
      <c r="D24" t="str">
        <f>IFERROR(INDEX(Menu!$B$2:$B$500, MATCH(23, Menu!$J$2:$J$500, 0)),"")</f>
        <v/>
      </c>
      <c r="E24" t="str">
        <f>IFERROR(INDEX(Menu!$B$2:$B$500, MATCH(23, Menu!$K$2:$K$500, 0)),"")</f>
        <v/>
      </c>
      <c r="F24" t="str">
        <f>IFERROR(INDEX(Menu!$B$2:$B$500, MATCH(23, Menu!$L$2:$L$500, 0)),"")</f>
        <v/>
      </c>
    </row>
    <row r="25" spans="1:6">
      <c r="A25" t="str">
        <f>IFERROR(INDEX(Menu!$B$2:$B$500, MATCH(24, Menu!$G$2:$G$500, 0)),"")</f>
        <v/>
      </c>
      <c r="B25" t="str">
        <f>IFERROR(INDEX(Menu!$B$2:$B$500, MATCH(24, Menu!$H$2:$H$500, 0)),"")</f>
        <v/>
      </c>
      <c r="C25" t="str">
        <f>IFERROR(INDEX(Menu!$B$2:$B$500, MATCH(24, Menu!$I$2:$I$500, 0)),"")</f>
        <v/>
      </c>
      <c r="D25" t="str">
        <f>IFERROR(INDEX(Menu!$B$2:$B$500, MATCH(24, Menu!$J$2:$J$500, 0)),"")</f>
        <v/>
      </c>
      <c r="E25" t="str">
        <f>IFERROR(INDEX(Menu!$B$2:$B$500, MATCH(24, Menu!$K$2:$K$500, 0)),"")</f>
        <v/>
      </c>
      <c r="F25" t="str">
        <f>IFERROR(INDEX(Menu!$B$2:$B$500, MATCH(24, Menu!$L$2:$L$500, 0)),"")</f>
        <v/>
      </c>
    </row>
    <row r="26" spans="1:6">
      <c r="A26" t="str">
        <f>IFERROR(INDEX(Menu!$B$2:$B$500, MATCH(25, Menu!$G$2:$G$500, 0)),"")</f>
        <v/>
      </c>
      <c r="B26" t="str">
        <f>IFERROR(INDEX(Menu!$B$2:$B$500, MATCH(25, Menu!$H$2:$H$500, 0)),"")</f>
        <v/>
      </c>
      <c r="C26" t="str">
        <f>IFERROR(INDEX(Menu!$B$2:$B$500, MATCH(25, Menu!$I$2:$I$500, 0)),"")</f>
        <v/>
      </c>
      <c r="D26" t="str">
        <f>IFERROR(INDEX(Menu!$B$2:$B$500, MATCH(25, Menu!$J$2:$J$500, 0)),"")</f>
        <v/>
      </c>
      <c r="E26" t="str">
        <f>IFERROR(INDEX(Menu!$B$2:$B$500, MATCH(25, Menu!$K$2:$K$500, 0)),"")</f>
        <v/>
      </c>
      <c r="F26" t="str">
        <f>IFERROR(INDEX(Menu!$B$2:$B$500, MATCH(25, Menu!$L$2:$L$500, 0)),"")</f>
        <v/>
      </c>
    </row>
    <row r="27" spans="1:6">
      <c r="A27" t="str">
        <f>IFERROR(INDEX(Menu!$B$2:$B$500, MATCH(26, Menu!$G$2:$G$500, 0)),"")</f>
        <v/>
      </c>
      <c r="B27" t="str">
        <f>IFERROR(INDEX(Menu!$B$2:$B$500, MATCH(26, Menu!$H$2:$H$500, 0)),"")</f>
        <v/>
      </c>
      <c r="C27" t="str">
        <f>IFERROR(INDEX(Menu!$B$2:$B$500, MATCH(26, Menu!$I$2:$I$500, 0)),"")</f>
        <v/>
      </c>
      <c r="D27" t="str">
        <f>IFERROR(INDEX(Menu!$B$2:$B$500, MATCH(26, Menu!$J$2:$J$500, 0)),"")</f>
        <v/>
      </c>
      <c r="E27" t="str">
        <f>IFERROR(INDEX(Menu!$B$2:$B$500, MATCH(26, Menu!$K$2:$K$500, 0)),"")</f>
        <v/>
      </c>
      <c r="F27" t="str">
        <f>IFERROR(INDEX(Menu!$B$2:$B$500, MATCH(26, Menu!$L$2:$L$500, 0)),"")</f>
        <v/>
      </c>
    </row>
    <row r="28" spans="1:6">
      <c r="A28" t="str">
        <f>IFERROR(INDEX(Menu!$B$2:$B$500, MATCH(27, Menu!$G$2:$G$500, 0)),"")</f>
        <v/>
      </c>
      <c r="B28" t="str">
        <f>IFERROR(INDEX(Menu!$B$2:$B$500, MATCH(27, Menu!$H$2:$H$500, 0)),"")</f>
        <v/>
      </c>
      <c r="C28" t="str">
        <f>IFERROR(INDEX(Menu!$B$2:$B$500, MATCH(27, Menu!$I$2:$I$500, 0)),"")</f>
        <v/>
      </c>
      <c r="D28" t="str">
        <f>IFERROR(INDEX(Menu!$B$2:$B$500, MATCH(27, Menu!$J$2:$J$500, 0)),"")</f>
        <v/>
      </c>
      <c r="E28" t="str">
        <f>IFERROR(INDEX(Menu!$B$2:$B$500, MATCH(27, Menu!$K$2:$K$500, 0)),"")</f>
        <v/>
      </c>
      <c r="F28" t="str">
        <f>IFERROR(INDEX(Menu!$B$2:$B$500, MATCH(27, Menu!$L$2:$L$500, 0)),"")</f>
        <v/>
      </c>
    </row>
    <row r="29" spans="1:6">
      <c r="A29" t="str">
        <f>IFERROR(INDEX(Menu!$B$2:$B$500, MATCH(28, Menu!$G$2:$G$500, 0)),"")</f>
        <v/>
      </c>
      <c r="B29" t="str">
        <f>IFERROR(INDEX(Menu!$B$2:$B$500, MATCH(28, Menu!$H$2:$H$500, 0)),"")</f>
        <v/>
      </c>
      <c r="C29" t="str">
        <f>IFERROR(INDEX(Menu!$B$2:$B$500, MATCH(28, Menu!$I$2:$I$500, 0)),"")</f>
        <v/>
      </c>
      <c r="D29" t="str">
        <f>IFERROR(INDEX(Menu!$B$2:$B$500, MATCH(28, Menu!$J$2:$J$500, 0)),"")</f>
        <v/>
      </c>
      <c r="E29" t="str">
        <f>IFERROR(INDEX(Menu!$B$2:$B$500, MATCH(28, Menu!$K$2:$K$500, 0)),"")</f>
        <v/>
      </c>
      <c r="F29" t="str">
        <f>IFERROR(INDEX(Menu!$B$2:$B$500, MATCH(28, Menu!$L$2:$L$500, 0)),"")</f>
        <v/>
      </c>
    </row>
    <row r="30" spans="1:6">
      <c r="A30" t="str">
        <f>IFERROR(INDEX(Menu!$B$2:$B$500, MATCH(29, Menu!$G$2:$G$500, 0)),"")</f>
        <v/>
      </c>
      <c r="B30" t="str">
        <f>IFERROR(INDEX(Menu!$B$2:$B$500, MATCH(29, Menu!$H$2:$H$500, 0)),"")</f>
        <v/>
      </c>
      <c r="C30" t="str">
        <f>IFERROR(INDEX(Menu!$B$2:$B$500, MATCH(29, Menu!$I$2:$I$500, 0)),"")</f>
        <v/>
      </c>
      <c r="D30" t="str">
        <f>IFERROR(INDEX(Menu!$B$2:$B$500, MATCH(29, Menu!$J$2:$J$500, 0)),"")</f>
        <v/>
      </c>
      <c r="E30" t="str">
        <f>IFERROR(INDEX(Menu!$B$2:$B$500, MATCH(29, Menu!$K$2:$K$500, 0)),"")</f>
        <v/>
      </c>
      <c r="F30" t="str">
        <f>IFERROR(INDEX(Menu!$B$2:$B$500, MATCH(29, Menu!$L$2:$L$500, 0)),"")</f>
        <v/>
      </c>
    </row>
    <row r="31" spans="1:6">
      <c r="A31" t="str">
        <f>IFERROR(INDEX(Menu!$B$2:$B$500, MATCH(30, Menu!$G$2:$G$500, 0)),"")</f>
        <v/>
      </c>
      <c r="B31" t="str">
        <f>IFERROR(INDEX(Menu!$B$2:$B$500, MATCH(30, Menu!$H$2:$H$500, 0)),"")</f>
        <v/>
      </c>
      <c r="C31" t="str">
        <f>IFERROR(INDEX(Menu!$B$2:$B$500, MATCH(30, Menu!$I$2:$I$500, 0)),"")</f>
        <v/>
      </c>
      <c r="D31" t="str">
        <f>IFERROR(INDEX(Menu!$B$2:$B$500, MATCH(30, Menu!$J$2:$J$500, 0)),"")</f>
        <v/>
      </c>
      <c r="E31" t="str">
        <f>IFERROR(INDEX(Menu!$B$2:$B$500, MATCH(30, Menu!$K$2:$K$500, 0)),"")</f>
        <v/>
      </c>
      <c r="F31" t="str">
        <f>IFERROR(INDEX(Menu!$B$2:$B$500, MATCH(30, Menu!$L$2:$L$500, 0)),"")</f>
        <v/>
      </c>
    </row>
    <row r="32" spans="1:6">
      <c r="A32" t="str">
        <f>IFERROR(INDEX(Menu!$B$2:$B$500, MATCH(31, Menu!$G$2:$G$500, 0)),"")</f>
        <v/>
      </c>
      <c r="B32" t="str">
        <f>IFERROR(INDEX(Menu!$B$2:$B$500, MATCH(31, Menu!$H$2:$H$500, 0)),"")</f>
        <v/>
      </c>
      <c r="C32" t="str">
        <f>IFERROR(INDEX(Menu!$B$2:$B$500, MATCH(31, Menu!$I$2:$I$500, 0)),"")</f>
        <v/>
      </c>
      <c r="D32" t="str">
        <f>IFERROR(INDEX(Menu!$B$2:$B$500, MATCH(31, Menu!$J$2:$J$500, 0)),"")</f>
        <v/>
      </c>
      <c r="E32" t="str">
        <f>IFERROR(INDEX(Menu!$B$2:$B$500, MATCH(31, Menu!$K$2:$K$500, 0)),"")</f>
        <v/>
      </c>
      <c r="F32" t="str">
        <f>IFERROR(INDEX(Menu!$B$2:$B$500, MATCH(31, Menu!$L$2:$L$500, 0)),"")</f>
        <v/>
      </c>
    </row>
    <row r="33" spans="1:6">
      <c r="A33" t="str">
        <f>IFERROR(INDEX(Menu!$B$2:$B$500, MATCH(32, Menu!$G$2:$G$500, 0)),"")</f>
        <v/>
      </c>
      <c r="B33" t="str">
        <f>IFERROR(INDEX(Menu!$B$2:$B$500, MATCH(32, Menu!$H$2:$H$500, 0)),"")</f>
        <v/>
      </c>
      <c r="C33" t="str">
        <f>IFERROR(INDEX(Menu!$B$2:$B$500, MATCH(32, Menu!$I$2:$I$500, 0)),"")</f>
        <v/>
      </c>
      <c r="D33" t="str">
        <f>IFERROR(INDEX(Menu!$B$2:$B$500, MATCH(32, Menu!$J$2:$J$500, 0)),"")</f>
        <v/>
      </c>
      <c r="E33" t="str">
        <f>IFERROR(INDEX(Menu!$B$2:$B$500, MATCH(32, Menu!$K$2:$K$500, 0)),"")</f>
        <v/>
      </c>
      <c r="F33" t="str">
        <f>IFERROR(INDEX(Menu!$B$2:$B$500, MATCH(32, Menu!$L$2:$L$500, 0)),"")</f>
        <v/>
      </c>
    </row>
    <row r="34" spans="1:6">
      <c r="A34" t="str">
        <f>IFERROR(INDEX(Menu!$B$2:$B$500, MATCH(33, Menu!$G$2:$G$500, 0)),"")</f>
        <v/>
      </c>
      <c r="B34" t="str">
        <f>IFERROR(INDEX(Menu!$B$2:$B$500, MATCH(33, Menu!$H$2:$H$500, 0)),"")</f>
        <v/>
      </c>
      <c r="C34" t="str">
        <f>IFERROR(INDEX(Menu!$B$2:$B$500, MATCH(33, Menu!$I$2:$I$500, 0)),"")</f>
        <v/>
      </c>
      <c r="D34" t="str">
        <f>IFERROR(INDEX(Menu!$B$2:$B$500, MATCH(33, Menu!$J$2:$J$500, 0)),"")</f>
        <v/>
      </c>
      <c r="E34" t="str">
        <f>IFERROR(INDEX(Menu!$B$2:$B$500, MATCH(33, Menu!$K$2:$K$500, 0)),"")</f>
        <v/>
      </c>
      <c r="F34" t="str">
        <f>IFERROR(INDEX(Menu!$B$2:$B$500, MATCH(33, Menu!$L$2:$L$500, 0)),"")</f>
        <v/>
      </c>
    </row>
    <row r="35" spans="1:6">
      <c r="A35" t="str">
        <f>IFERROR(INDEX(Menu!$B$2:$B$500, MATCH(34, Menu!$G$2:$G$500, 0)),"")</f>
        <v/>
      </c>
      <c r="B35" t="str">
        <f>IFERROR(INDEX(Menu!$B$2:$B$500, MATCH(34, Menu!$H$2:$H$500, 0)),"")</f>
        <v/>
      </c>
      <c r="C35" t="str">
        <f>IFERROR(INDEX(Menu!$B$2:$B$500, MATCH(34, Menu!$I$2:$I$500, 0)),"")</f>
        <v/>
      </c>
      <c r="D35" t="str">
        <f>IFERROR(INDEX(Menu!$B$2:$B$500, MATCH(34, Menu!$J$2:$J$500, 0)),"")</f>
        <v/>
      </c>
      <c r="E35" t="str">
        <f>IFERROR(INDEX(Menu!$B$2:$B$500, MATCH(34, Menu!$K$2:$K$500, 0)),"")</f>
        <v/>
      </c>
      <c r="F35" t="str">
        <f>IFERROR(INDEX(Menu!$B$2:$B$500, MATCH(34, Menu!$L$2:$L$500, 0)),"")</f>
        <v/>
      </c>
    </row>
    <row r="36" spans="1:6">
      <c r="A36" t="str">
        <f>IFERROR(INDEX(Menu!$B$2:$B$500, MATCH(35, Menu!$G$2:$G$500, 0)),"")</f>
        <v/>
      </c>
      <c r="B36" t="str">
        <f>IFERROR(INDEX(Menu!$B$2:$B$500, MATCH(35, Menu!$H$2:$H$500, 0)),"")</f>
        <v/>
      </c>
      <c r="C36" t="str">
        <f>IFERROR(INDEX(Menu!$B$2:$B$500, MATCH(35, Menu!$I$2:$I$500, 0)),"")</f>
        <v/>
      </c>
      <c r="D36" t="str">
        <f>IFERROR(INDEX(Menu!$B$2:$B$500, MATCH(35, Menu!$J$2:$J$500, 0)),"")</f>
        <v/>
      </c>
      <c r="E36" t="str">
        <f>IFERROR(INDEX(Menu!$B$2:$B$500, MATCH(35, Menu!$K$2:$K$500, 0)),"")</f>
        <v/>
      </c>
      <c r="F36" t="str">
        <f>IFERROR(INDEX(Menu!$B$2:$B$500, MATCH(35, Menu!$L$2:$L$500, 0)),"")</f>
        <v/>
      </c>
    </row>
    <row r="37" spans="1:6">
      <c r="A37" t="str">
        <f>IFERROR(INDEX(Menu!$B$2:$B$500, MATCH(36, Menu!$G$2:$G$500, 0)),"")</f>
        <v/>
      </c>
      <c r="B37" t="str">
        <f>IFERROR(INDEX(Menu!$B$2:$B$500, MATCH(36, Menu!$H$2:$H$500, 0)),"")</f>
        <v/>
      </c>
      <c r="C37" t="str">
        <f>IFERROR(INDEX(Menu!$B$2:$B$500, MATCH(36, Menu!$I$2:$I$500, 0)),"")</f>
        <v/>
      </c>
      <c r="D37" t="str">
        <f>IFERROR(INDEX(Menu!$B$2:$B$500, MATCH(36, Menu!$J$2:$J$500, 0)),"")</f>
        <v/>
      </c>
      <c r="E37" t="str">
        <f>IFERROR(INDEX(Menu!$B$2:$B$500, MATCH(36, Menu!$K$2:$K$500, 0)),"")</f>
        <v/>
      </c>
      <c r="F37" t="str">
        <f>IFERROR(INDEX(Menu!$B$2:$B$500, MATCH(36, Menu!$L$2:$L$500, 0)),"")</f>
        <v/>
      </c>
    </row>
    <row r="38" spans="1:6">
      <c r="A38" t="str">
        <f>IFERROR(INDEX(Menu!$B$2:$B$500, MATCH(37, Menu!$G$2:$G$500, 0)),"")</f>
        <v/>
      </c>
      <c r="B38" t="str">
        <f>IFERROR(INDEX(Menu!$B$2:$B$500, MATCH(37, Menu!$H$2:$H$500, 0)),"")</f>
        <v/>
      </c>
      <c r="C38" t="str">
        <f>IFERROR(INDEX(Menu!$B$2:$B$500, MATCH(37, Menu!$I$2:$I$500, 0)),"")</f>
        <v/>
      </c>
      <c r="D38" t="str">
        <f>IFERROR(INDEX(Menu!$B$2:$B$500, MATCH(37, Menu!$J$2:$J$500, 0)),"")</f>
        <v/>
      </c>
      <c r="E38" t="str">
        <f>IFERROR(INDEX(Menu!$B$2:$B$500, MATCH(37, Menu!$K$2:$K$500, 0)),"")</f>
        <v/>
      </c>
      <c r="F38" t="str">
        <f>IFERROR(INDEX(Menu!$B$2:$B$500, MATCH(37, Menu!$L$2:$L$500, 0)),"")</f>
        <v/>
      </c>
    </row>
    <row r="39" spans="1:6">
      <c r="A39" t="str">
        <f>IFERROR(INDEX(Menu!$B$2:$B$500, MATCH(38, Menu!$G$2:$G$500, 0)),"")</f>
        <v/>
      </c>
      <c r="B39" t="str">
        <f>IFERROR(INDEX(Menu!$B$2:$B$500, MATCH(38, Menu!$H$2:$H$500, 0)),"")</f>
        <v/>
      </c>
      <c r="C39" t="str">
        <f>IFERROR(INDEX(Menu!$B$2:$B$500, MATCH(38, Menu!$I$2:$I$500, 0)),"")</f>
        <v/>
      </c>
      <c r="D39" t="str">
        <f>IFERROR(INDEX(Menu!$B$2:$B$500, MATCH(38, Menu!$J$2:$J$500, 0)),"")</f>
        <v/>
      </c>
      <c r="E39" t="str">
        <f>IFERROR(INDEX(Menu!$B$2:$B$500, MATCH(38, Menu!$K$2:$K$500, 0)),"")</f>
        <v/>
      </c>
      <c r="F39" t="str">
        <f>IFERROR(INDEX(Menu!$B$2:$B$500, MATCH(38, Menu!$L$2:$L$500, 0)),"")</f>
        <v/>
      </c>
    </row>
    <row r="40" spans="1:6">
      <c r="A40" t="str">
        <f>IFERROR(INDEX(Menu!$B$2:$B$500, MATCH(39, Menu!$G$2:$G$500, 0)),"")</f>
        <v/>
      </c>
      <c r="B40" t="str">
        <f>IFERROR(INDEX(Menu!$B$2:$B$500, MATCH(39, Menu!$H$2:$H$500, 0)),"")</f>
        <v/>
      </c>
      <c r="C40" t="str">
        <f>IFERROR(INDEX(Menu!$B$2:$B$500, MATCH(39, Menu!$I$2:$I$500, 0)),"")</f>
        <v/>
      </c>
      <c r="D40" t="str">
        <f>IFERROR(INDEX(Menu!$B$2:$B$500, MATCH(39, Menu!$J$2:$J$500, 0)),"")</f>
        <v/>
      </c>
      <c r="E40" t="str">
        <f>IFERROR(INDEX(Menu!$B$2:$B$500, MATCH(39, Menu!$K$2:$K$500, 0)),"")</f>
        <v/>
      </c>
      <c r="F40" t="str">
        <f>IFERROR(INDEX(Menu!$B$2:$B$500, MATCH(39, Menu!$L$2:$L$500, 0)),"")</f>
        <v/>
      </c>
    </row>
    <row r="41" spans="1:6">
      <c r="A41" t="str">
        <f>IFERROR(INDEX(Menu!$B$2:$B$500, MATCH(40, Menu!$G$2:$G$500, 0)),"")</f>
        <v/>
      </c>
      <c r="B41" t="str">
        <f>IFERROR(INDEX(Menu!$B$2:$B$500, MATCH(40, Menu!$H$2:$H$500, 0)),"")</f>
        <v/>
      </c>
      <c r="C41" t="str">
        <f>IFERROR(INDEX(Menu!$B$2:$B$500, MATCH(40, Menu!$I$2:$I$500, 0)),"")</f>
        <v/>
      </c>
      <c r="D41" t="str">
        <f>IFERROR(INDEX(Menu!$B$2:$B$500, MATCH(40, Menu!$J$2:$J$500, 0)),"")</f>
        <v/>
      </c>
      <c r="E41" t="str">
        <f>IFERROR(INDEX(Menu!$B$2:$B$500, MATCH(40, Menu!$K$2:$K$500, 0)),"")</f>
        <v/>
      </c>
      <c r="F41" t="str">
        <f>IFERROR(INDEX(Menu!$B$2:$B$500, MATCH(40, Menu!$L$2:$L$500, 0)),"")</f>
        <v/>
      </c>
    </row>
    <row r="42" spans="1:6">
      <c r="A42" t="str">
        <f>IFERROR(INDEX(Menu!$B$2:$B$500, MATCH(41, Menu!$G$2:$G$500, 0)),"")</f>
        <v/>
      </c>
      <c r="B42" t="str">
        <f>IFERROR(INDEX(Menu!$B$2:$B$500, MATCH(41, Menu!$H$2:$H$500, 0)),"")</f>
        <v/>
      </c>
      <c r="C42" t="str">
        <f>IFERROR(INDEX(Menu!$B$2:$B$500, MATCH(41, Menu!$I$2:$I$500, 0)),"")</f>
        <v/>
      </c>
      <c r="D42" t="str">
        <f>IFERROR(INDEX(Menu!$B$2:$B$500, MATCH(41, Menu!$J$2:$J$500, 0)),"")</f>
        <v/>
      </c>
      <c r="E42" t="str">
        <f>IFERROR(INDEX(Menu!$B$2:$B$500, MATCH(41, Menu!$K$2:$K$500, 0)),"")</f>
        <v/>
      </c>
      <c r="F42" t="str">
        <f>IFERROR(INDEX(Menu!$B$2:$B$500, MATCH(41, Menu!$L$2:$L$500, 0)),"")</f>
        <v/>
      </c>
    </row>
    <row r="43" spans="1:6">
      <c r="A43" t="str">
        <f>IFERROR(INDEX(Menu!$B$2:$B$500, MATCH(42, Menu!$G$2:$G$500, 0)),"")</f>
        <v/>
      </c>
      <c r="B43" t="str">
        <f>IFERROR(INDEX(Menu!$B$2:$B$500, MATCH(42, Menu!$H$2:$H$500, 0)),"")</f>
        <v/>
      </c>
      <c r="C43" t="str">
        <f>IFERROR(INDEX(Menu!$B$2:$B$500, MATCH(42, Menu!$I$2:$I$500, 0)),"")</f>
        <v/>
      </c>
      <c r="D43" t="str">
        <f>IFERROR(INDEX(Menu!$B$2:$B$500, MATCH(42, Menu!$J$2:$J$500, 0)),"")</f>
        <v/>
      </c>
      <c r="E43" t="str">
        <f>IFERROR(INDEX(Menu!$B$2:$B$500, MATCH(42, Menu!$K$2:$K$500, 0)),"")</f>
        <v/>
      </c>
      <c r="F43" t="str">
        <f>IFERROR(INDEX(Menu!$B$2:$B$500, MATCH(42, Menu!$L$2:$L$500, 0)),"")</f>
        <v/>
      </c>
    </row>
    <row r="44" spans="1:6">
      <c r="A44" t="str">
        <f>IFERROR(INDEX(Menu!$B$2:$B$500, MATCH(43, Menu!$G$2:$G$500, 0)),"")</f>
        <v/>
      </c>
      <c r="B44" t="str">
        <f>IFERROR(INDEX(Menu!$B$2:$B$500, MATCH(43, Menu!$H$2:$H$500, 0)),"")</f>
        <v/>
      </c>
      <c r="C44" t="str">
        <f>IFERROR(INDEX(Menu!$B$2:$B$500, MATCH(43, Menu!$I$2:$I$500, 0)),"")</f>
        <v/>
      </c>
      <c r="D44" t="str">
        <f>IFERROR(INDEX(Menu!$B$2:$B$500, MATCH(43, Menu!$J$2:$J$500, 0)),"")</f>
        <v/>
      </c>
      <c r="E44" t="str">
        <f>IFERROR(INDEX(Menu!$B$2:$B$500, MATCH(43, Menu!$K$2:$K$500, 0)),"")</f>
        <v/>
      </c>
      <c r="F44" t="str">
        <f>IFERROR(INDEX(Menu!$B$2:$B$500, MATCH(43, Menu!$L$2:$L$500, 0)),"")</f>
        <v/>
      </c>
    </row>
    <row r="45" spans="1:6">
      <c r="A45" t="str">
        <f>IFERROR(INDEX(Menu!$B$2:$B$500, MATCH(44, Menu!$G$2:$G$500, 0)),"")</f>
        <v/>
      </c>
      <c r="B45" t="str">
        <f>IFERROR(INDEX(Menu!$B$2:$B$500, MATCH(44, Menu!$H$2:$H$500, 0)),"")</f>
        <v/>
      </c>
      <c r="C45" t="str">
        <f>IFERROR(INDEX(Menu!$B$2:$B$500, MATCH(44, Menu!$I$2:$I$500, 0)),"")</f>
        <v/>
      </c>
      <c r="D45" t="str">
        <f>IFERROR(INDEX(Menu!$B$2:$B$500, MATCH(44, Menu!$J$2:$J$500, 0)),"")</f>
        <v/>
      </c>
      <c r="E45" t="str">
        <f>IFERROR(INDEX(Menu!$B$2:$B$500, MATCH(44, Menu!$K$2:$K$500, 0)),"")</f>
        <v/>
      </c>
      <c r="F45" t="str">
        <f>IFERROR(INDEX(Menu!$B$2:$B$500, MATCH(44, Menu!$L$2:$L$500, 0)),"")</f>
        <v/>
      </c>
    </row>
    <row r="46" spans="1:6">
      <c r="A46" t="str">
        <f>IFERROR(INDEX(Menu!$B$2:$B$500, MATCH(45, Menu!$G$2:$G$500, 0)),"")</f>
        <v/>
      </c>
      <c r="B46" t="str">
        <f>IFERROR(INDEX(Menu!$B$2:$B$500, MATCH(45, Menu!$H$2:$H$500, 0)),"")</f>
        <v/>
      </c>
      <c r="C46" t="str">
        <f>IFERROR(INDEX(Menu!$B$2:$B$500, MATCH(45, Menu!$I$2:$I$500, 0)),"")</f>
        <v/>
      </c>
      <c r="D46" t="str">
        <f>IFERROR(INDEX(Menu!$B$2:$B$500, MATCH(45, Menu!$J$2:$J$500, 0)),"")</f>
        <v/>
      </c>
      <c r="E46" t="str">
        <f>IFERROR(INDEX(Menu!$B$2:$B$500, MATCH(45, Menu!$K$2:$K$500, 0)),"")</f>
        <v/>
      </c>
      <c r="F46" t="str">
        <f>IFERROR(INDEX(Menu!$B$2:$B$500, MATCH(45, Menu!$L$2:$L$500, 0)),"")</f>
        <v/>
      </c>
    </row>
    <row r="47" spans="1:6">
      <c r="A47" t="str">
        <f>IFERROR(INDEX(Menu!$B$2:$B$500, MATCH(46, Menu!$G$2:$G$500, 0)),"")</f>
        <v/>
      </c>
      <c r="B47" t="str">
        <f>IFERROR(INDEX(Menu!$B$2:$B$500, MATCH(46, Menu!$H$2:$H$500, 0)),"")</f>
        <v/>
      </c>
      <c r="C47" t="str">
        <f>IFERROR(INDEX(Menu!$B$2:$B$500, MATCH(46, Menu!$I$2:$I$500, 0)),"")</f>
        <v/>
      </c>
      <c r="D47" t="str">
        <f>IFERROR(INDEX(Menu!$B$2:$B$500, MATCH(46, Menu!$J$2:$J$500, 0)),"")</f>
        <v/>
      </c>
      <c r="E47" t="str">
        <f>IFERROR(INDEX(Menu!$B$2:$B$500, MATCH(46, Menu!$K$2:$K$500, 0)),"")</f>
        <v/>
      </c>
      <c r="F47" t="str">
        <f>IFERROR(INDEX(Menu!$B$2:$B$500, MATCH(46, Menu!$L$2:$L$500, 0)),"")</f>
        <v/>
      </c>
    </row>
    <row r="48" spans="1:6">
      <c r="A48" t="str">
        <f>IFERROR(INDEX(Menu!$B$2:$B$500, MATCH(47, Menu!$G$2:$G$500, 0)),"")</f>
        <v/>
      </c>
      <c r="B48" t="str">
        <f>IFERROR(INDEX(Menu!$B$2:$B$500, MATCH(47, Menu!$H$2:$H$500, 0)),"")</f>
        <v/>
      </c>
      <c r="C48" t="str">
        <f>IFERROR(INDEX(Menu!$B$2:$B$500, MATCH(47, Menu!$I$2:$I$500, 0)),"")</f>
        <v/>
      </c>
      <c r="D48" t="str">
        <f>IFERROR(INDEX(Menu!$B$2:$B$500, MATCH(47, Menu!$J$2:$J$500, 0)),"")</f>
        <v/>
      </c>
      <c r="E48" t="str">
        <f>IFERROR(INDEX(Menu!$B$2:$B$500, MATCH(47, Menu!$K$2:$K$500, 0)),"")</f>
        <v/>
      </c>
      <c r="F48" t="str">
        <f>IFERROR(INDEX(Menu!$B$2:$B$500, MATCH(47, Menu!$L$2:$L$500, 0)),"")</f>
        <v/>
      </c>
    </row>
    <row r="49" spans="1:6">
      <c r="A49" t="str">
        <f>IFERROR(INDEX(Menu!$B$2:$B$500, MATCH(48, Menu!$G$2:$G$500, 0)),"")</f>
        <v/>
      </c>
      <c r="B49" t="str">
        <f>IFERROR(INDEX(Menu!$B$2:$B$500, MATCH(48, Menu!$H$2:$H$500, 0)),"")</f>
        <v/>
      </c>
      <c r="C49" t="str">
        <f>IFERROR(INDEX(Menu!$B$2:$B$500, MATCH(48, Menu!$I$2:$I$500, 0)),"")</f>
        <v/>
      </c>
      <c r="D49" t="str">
        <f>IFERROR(INDEX(Menu!$B$2:$B$500, MATCH(48, Menu!$J$2:$J$500, 0)),"")</f>
        <v/>
      </c>
      <c r="E49" t="str">
        <f>IFERROR(INDEX(Menu!$B$2:$B$500, MATCH(48, Menu!$K$2:$K$500, 0)),"")</f>
        <v/>
      </c>
      <c r="F49" t="str">
        <f>IFERROR(INDEX(Menu!$B$2:$B$500, MATCH(48, Menu!$L$2:$L$500, 0)),"")</f>
        <v/>
      </c>
    </row>
    <row r="50" spans="1:6">
      <c r="A50" t="str">
        <f>IFERROR(INDEX(Menu!$B$2:$B$500, MATCH(49, Menu!$G$2:$G$500, 0)),"")</f>
        <v/>
      </c>
      <c r="B50" t="str">
        <f>IFERROR(INDEX(Menu!$B$2:$B$500, MATCH(49, Menu!$H$2:$H$500, 0)),"")</f>
        <v/>
      </c>
      <c r="C50" t="str">
        <f>IFERROR(INDEX(Menu!$B$2:$B$500, MATCH(49, Menu!$I$2:$I$500, 0)),"")</f>
        <v/>
      </c>
      <c r="D50" t="str">
        <f>IFERROR(INDEX(Menu!$B$2:$B$500, MATCH(49, Menu!$J$2:$J$500, 0)),"")</f>
        <v/>
      </c>
      <c r="E50" t="str">
        <f>IFERROR(INDEX(Menu!$B$2:$B$500, MATCH(49, Menu!$K$2:$K$500, 0)),"")</f>
        <v/>
      </c>
      <c r="F50" t="str">
        <f>IFERROR(INDEX(Menu!$B$2:$B$500, MATCH(49, Menu!$L$2:$L$500, 0)),"")</f>
        <v/>
      </c>
    </row>
    <row r="51" spans="1:6">
      <c r="A51" t="str">
        <f>IFERROR(INDEX(Menu!$B$2:$B$500, MATCH(50, Menu!$G$2:$G$500, 0)),"")</f>
        <v/>
      </c>
      <c r="B51" t="str">
        <f>IFERROR(INDEX(Menu!$B$2:$B$500, MATCH(50, Menu!$H$2:$H$500, 0)),"")</f>
        <v/>
      </c>
      <c r="C51" t="str">
        <f>IFERROR(INDEX(Menu!$B$2:$B$500, MATCH(50, Menu!$I$2:$I$500, 0)),"")</f>
        <v/>
      </c>
      <c r="D51" t="str">
        <f>IFERROR(INDEX(Menu!$B$2:$B$500, MATCH(50, Menu!$J$2:$J$500, 0)),"")</f>
        <v/>
      </c>
      <c r="E51" t="str">
        <f>IFERROR(INDEX(Menu!$B$2:$B$500, MATCH(50, Menu!$K$2:$K$500, 0)),"")</f>
        <v/>
      </c>
      <c r="F51" t="str">
        <f>IFERROR(INDEX(Menu!$B$2:$B$500, MATCH(50, Menu!$L$2:$L$500, 0)),"")</f>
        <v/>
      </c>
    </row>
    <row r="52" spans="1:6">
      <c r="A52" t="str">
        <f>IFERROR(INDEX(Menu!$B$2:$B$500, MATCH(51, Menu!$G$2:$G$500, 0)),"")</f>
        <v/>
      </c>
      <c r="B52" t="str">
        <f>IFERROR(INDEX(Menu!$B$2:$B$500, MATCH(51, Menu!$H$2:$H$500, 0)),"")</f>
        <v/>
      </c>
      <c r="C52" t="str">
        <f>IFERROR(INDEX(Menu!$B$2:$B$500, MATCH(51, Menu!$I$2:$I$500, 0)),"")</f>
        <v/>
      </c>
      <c r="D52" t="str">
        <f>IFERROR(INDEX(Menu!$B$2:$B$500, MATCH(51, Menu!$J$2:$J$500, 0)),"")</f>
        <v/>
      </c>
      <c r="E52" t="str">
        <f>IFERROR(INDEX(Menu!$B$2:$B$500, MATCH(51, Menu!$K$2:$K$500, 0)),"")</f>
        <v/>
      </c>
      <c r="F52" t="str">
        <f>IFERROR(INDEX(Menu!$B$2:$B$500, MATCH(51, Menu!$L$2:$L$500, 0)),"")</f>
        <v/>
      </c>
    </row>
    <row r="53" spans="1:6">
      <c r="A53" t="str">
        <f>IFERROR(INDEX(Menu!$B$2:$B$500, MATCH(52, Menu!$G$2:$G$500, 0)),"")</f>
        <v/>
      </c>
      <c r="B53" t="str">
        <f>IFERROR(INDEX(Menu!$B$2:$B$500, MATCH(52, Menu!$H$2:$H$500, 0)),"")</f>
        <v/>
      </c>
      <c r="C53" t="str">
        <f>IFERROR(INDEX(Menu!$B$2:$B$500, MATCH(52, Menu!$I$2:$I$500, 0)),"")</f>
        <v/>
      </c>
      <c r="D53" t="str">
        <f>IFERROR(INDEX(Menu!$B$2:$B$500, MATCH(52, Menu!$J$2:$J$500, 0)),"")</f>
        <v/>
      </c>
      <c r="E53" t="str">
        <f>IFERROR(INDEX(Menu!$B$2:$B$500, MATCH(52, Menu!$K$2:$K$500, 0)),"")</f>
        <v/>
      </c>
      <c r="F53" t="str">
        <f>IFERROR(INDEX(Menu!$B$2:$B$500, MATCH(52, Menu!$L$2:$L$500, 0)),"")</f>
        <v/>
      </c>
    </row>
    <row r="54" spans="1:6">
      <c r="A54" t="str">
        <f>IFERROR(INDEX(Menu!$B$2:$B$500, MATCH(53, Menu!$G$2:$G$500, 0)),"")</f>
        <v/>
      </c>
      <c r="B54" t="str">
        <f>IFERROR(INDEX(Menu!$B$2:$B$500, MATCH(53, Menu!$H$2:$H$500, 0)),"")</f>
        <v/>
      </c>
      <c r="C54" t="str">
        <f>IFERROR(INDEX(Menu!$B$2:$B$500, MATCH(53, Menu!$I$2:$I$500, 0)),"")</f>
        <v/>
      </c>
      <c r="D54" t="str">
        <f>IFERROR(INDEX(Menu!$B$2:$B$500, MATCH(53, Menu!$J$2:$J$500, 0)),"")</f>
        <v/>
      </c>
      <c r="E54" t="str">
        <f>IFERROR(INDEX(Menu!$B$2:$B$500, MATCH(53, Menu!$K$2:$K$500, 0)),"")</f>
        <v/>
      </c>
      <c r="F54" t="str">
        <f>IFERROR(INDEX(Menu!$B$2:$B$500, MATCH(53, Menu!$L$2:$L$500, 0)),"")</f>
        <v/>
      </c>
    </row>
    <row r="55" spans="1:6">
      <c r="A55" t="str">
        <f>IFERROR(INDEX(Menu!$B$2:$B$500, MATCH(54, Menu!$G$2:$G$500, 0)),"")</f>
        <v/>
      </c>
      <c r="B55" t="str">
        <f>IFERROR(INDEX(Menu!$B$2:$B$500, MATCH(54, Menu!$H$2:$H$500, 0)),"")</f>
        <v/>
      </c>
      <c r="C55" t="str">
        <f>IFERROR(INDEX(Menu!$B$2:$B$500, MATCH(54, Menu!$I$2:$I$500, 0)),"")</f>
        <v/>
      </c>
      <c r="D55" t="str">
        <f>IFERROR(INDEX(Menu!$B$2:$B$500, MATCH(54, Menu!$J$2:$J$500, 0)),"")</f>
        <v/>
      </c>
      <c r="E55" t="str">
        <f>IFERROR(INDEX(Menu!$B$2:$B$500, MATCH(54, Menu!$K$2:$K$500, 0)),"")</f>
        <v/>
      </c>
      <c r="F55" t="str">
        <f>IFERROR(INDEX(Menu!$B$2:$B$500, MATCH(54, Menu!$L$2:$L$500, 0)),"")</f>
        <v/>
      </c>
    </row>
    <row r="56" spans="1:6">
      <c r="A56" t="str">
        <f>IFERROR(INDEX(Menu!$B$2:$B$500, MATCH(55, Menu!$G$2:$G$500, 0)),"")</f>
        <v/>
      </c>
      <c r="B56" t="str">
        <f>IFERROR(INDEX(Menu!$B$2:$B$500, MATCH(55, Menu!$H$2:$H$500, 0)),"")</f>
        <v/>
      </c>
      <c r="C56" t="str">
        <f>IFERROR(INDEX(Menu!$B$2:$B$500, MATCH(55, Menu!$I$2:$I$500, 0)),"")</f>
        <v/>
      </c>
      <c r="D56" t="str">
        <f>IFERROR(INDEX(Menu!$B$2:$B$500, MATCH(55, Menu!$J$2:$J$500, 0)),"")</f>
        <v/>
      </c>
      <c r="E56" t="str">
        <f>IFERROR(INDEX(Menu!$B$2:$B$500, MATCH(55, Menu!$K$2:$K$500, 0)),"")</f>
        <v/>
      </c>
      <c r="F56" t="str">
        <f>IFERROR(INDEX(Menu!$B$2:$B$500, MATCH(55, Menu!$L$2:$L$500, 0)),"")</f>
        <v/>
      </c>
    </row>
    <row r="57" spans="1:6">
      <c r="A57" t="str">
        <f>IFERROR(INDEX(Menu!$B$2:$B$500, MATCH(56, Menu!$G$2:$G$500, 0)),"")</f>
        <v/>
      </c>
      <c r="B57" t="str">
        <f>IFERROR(INDEX(Menu!$B$2:$B$500, MATCH(56, Menu!$H$2:$H$500, 0)),"")</f>
        <v/>
      </c>
      <c r="C57" t="str">
        <f>IFERROR(INDEX(Menu!$B$2:$B$500, MATCH(56, Menu!$I$2:$I$500, 0)),"")</f>
        <v/>
      </c>
      <c r="D57" t="str">
        <f>IFERROR(INDEX(Menu!$B$2:$B$500, MATCH(56, Menu!$J$2:$J$500, 0)),"")</f>
        <v/>
      </c>
      <c r="E57" t="str">
        <f>IFERROR(INDEX(Menu!$B$2:$B$500, MATCH(56, Menu!$K$2:$K$500, 0)),"")</f>
        <v/>
      </c>
      <c r="F57" t="str">
        <f>IFERROR(INDEX(Menu!$B$2:$B$500, MATCH(56, Menu!$L$2:$L$500, 0)),"")</f>
        <v/>
      </c>
    </row>
    <row r="58" spans="1:6">
      <c r="A58" t="str">
        <f>IFERROR(INDEX(Menu!$B$2:$B$500, MATCH(57, Menu!$G$2:$G$500, 0)),"")</f>
        <v/>
      </c>
      <c r="B58" t="str">
        <f>IFERROR(INDEX(Menu!$B$2:$B$500, MATCH(57, Menu!$H$2:$H$500, 0)),"")</f>
        <v/>
      </c>
      <c r="C58" t="str">
        <f>IFERROR(INDEX(Menu!$B$2:$B$500, MATCH(57, Menu!$I$2:$I$500, 0)),"")</f>
        <v/>
      </c>
      <c r="D58" t="str">
        <f>IFERROR(INDEX(Menu!$B$2:$B$500, MATCH(57, Menu!$J$2:$J$500, 0)),"")</f>
        <v/>
      </c>
      <c r="E58" t="str">
        <f>IFERROR(INDEX(Menu!$B$2:$B$500, MATCH(57, Menu!$K$2:$K$500, 0)),"")</f>
        <v/>
      </c>
      <c r="F58" t="str">
        <f>IFERROR(INDEX(Menu!$B$2:$B$500, MATCH(57, Menu!$L$2:$L$500, 0)),"")</f>
        <v/>
      </c>
    </row>
    <row r="59" spans="1:6">
      <c r="A59" t="str">
        <f>IFERROR(INDEX(Menu!$B$2:$B$500, MATCH(58, Menu!$G$2:$G$500, 0)),"")</f>
        <v/>
      </c>
      <c r="B59" t="str">
        <f>IFERROR(INDEX(Menu!$B$2:$B$500, MATCH(58, Menu!$H$2:$H$500, 0)),"")</f>
        <v/>
      </c>
      <c r="C59" t="str">
        <f>IFERROR(INDEX(Menu!$B$2:$B$500, MATCH(58, Menu!$I$2:$I$500, 0)),"")</f>
        <v/>
      </c>
      <c r="D59" t="str">
        <f>IFERROR(INDEX(Menu!$B$2:$B$500, MATCH(58, Menu!$J$2:$J$500, 0)),"")</f>
        <v/>
      </c>
      <c r="E59" t="str">
        <f>IFERROR(INDEX(Menu!$B$2:$B$500, MATCH(58, Menu!$K$2:$K$500, 0)),"")</f>
        <v/>
      </c>
      <c r="F59" t="str">
        <f>IFERROR(INDEX(Menu!$B$2:$B$500, MATCH(58, Menu!$L$2:$L$500, 0)),"")</f>
        <v/>
      </c>
    </row>
    <row r="60" spans="1:6">
      <c r="A60" t="str">
        <f>IFERROR(INDEX(Menu!$B$2:$B$500, MATCH(59, Menu!$G$2:$G$500, 0)),"")</f>
        <v/>
      </c>
      <c r="B60" t="str">
        <f>IFERROR(INDEX(Menu!$B$2:$B$500, MATCH(59, Menu!$H$2:$H$500, 0)),"")</f>
        <v/>
      </c>
      <c r="C60" t="str">
        <f>IFERROR(INDEX(Menu!$B$2:$B$500, MATCH(59, Menu!$I$2:$I$500, 0)),"")</f>
        <v/>
      </c>
      <c r="D60" t="str">
        <f>IFERROR(INDEX(Menu!$B$2:$B$500, MATCH(59, Menu!$J$2:$J$500, 0)),"")</f>
        <v/>
      </c>
      <c r="E60" t="str">
        <f>IFERROR(INDEX(Menu!$B$2:$B$500, MATCH(59, Menu!$K$2:$K$500, 0)),"")</f>
        <v/>
      </c>
      <c r="F60" t="str">
        <f>IFERROR(INDEX(Menu!$B$2:$B$500, MATCH(59, Menu!$L$2:$L$500, 0)),"")</f>
        <v/>
      </c>
    </row>
    <row r="61" spans="1:6">
      <c r="A61" t="str">
        <f>IFERROR(INDEX(Menu!$B$2:$B$500, MATCH(60, Menu!$G$2:$G$500, 0)),"")</f>
        <v/>
      </c>
      <c r="B61" t="str">
        <f>IFERROR(INDEX(Menu!$B$2:$B$500, MATCH(60, Menu!$H$2:$H$500, 0)),"")</f>
        <v/>
      </c>
      <c r="C61" t="str">
        <f>IFERROR(INDEX(Menu!$B$2:$B$500, MATCH(60, Menu!$I$2:$I$500, 0)),"")</f>
        <v/>
      </c>
      <c r="D61" t="str">
        <f>IFERROR(INDEX(Menu!$B$2:$B$500, MATCH(60, Menu!$J$2:$J$500, 0)),"")</f>
        <v/>
      </c>
      <c r="E61" t="str">
        <f>IFERROR(INDEX(Menu!$B$2:$B$500, MATCH(60, Menu!$K$2:$K$500, 0)),"")</f>
        <v/>
      </c>
      <c r="F61" t="str">
        <f>IFERROR(INDEX(Menu!$B$2:$B$500, MATCH(60, Menu!$L$2:$L$500, 0)),"")</f>
        <v/>
      </c>
    </row>
    <row r="62" spans="1:6">
      <c r="A62" t="str">
        <f>IFERROR(INDEX(Menu!$B$2:$B$500, MATCH(61, Menu!$G$2:$G$500, 0)),"")</f>
        <v/>
      </c>
      <c r="B62" t="str">
        <f>IFERROR(INDEX(Menu!$B$2:$B$500, MATCH(61, Menu!$H$2:$H$500, 0)),"")</f>
        <v/>
      </c>
      <c r="C62" t="str">
        <f>IFERROR(INDEX(Menu!$B$2:$B$500, MATCH(61, Menu!$I$2:$I$500, 0)),"")</f>
        <v/>
      </c>
      <c r="D62" t="str">
        <f>IFERROR(INDEX(Menu!$B$2:$B$500, MATCH(61, Menu!$J$2:$J$500, 0)),"")</f>
        <v/>
      </c>
      <c r="E62" t="str">
        <f>IFERROR(INDEX(Menu!$B$2:$B$500, MATCH(61, Menu!$K$2:$K$500, 0)),"")</f>
        <v/>
      </c>
      <c r="F62" t="str">
        <f>IFERROR(INDEX(Menu!$B$2:$B$500, MATCH(61, Menu!$L$2:$L$500, 0)),"")</f>
        <v/>
      </c>
    </row>
    <row r="63" spans="1:6">
      <c r="A63" t="str">
        <f>IFERROR(INDEX(Menu!$B$2:$B$500, MATCH(62, Menu!$G$2:$G$500, 0)),"")</f>
        <v/>
      </c>
      <c r="B63" t="str">
        <f>IFERROR(INDEX(Menu!$B$2:$B$500, MATCH(62, Menu!$H$2:$H$500, 0)),"")</f>
        <v/>
      </c>
      <c r="C63" t="str">
        <f>IFERROR(INDEX(Menu!$B$2:$B$500, MATCH(62, Menu!$I$2:$I$500, 0)),"")</f>
        <v/>
      </c>
      <c r="D63" t="str">
        <f>IFERROR(INDEX(Menu!$B$2:$B$500, MATCH(62, Menu!$J$2:$J$500, 0)),"")</f>
        <v/>
      </c>
      <c r="E63" t="str">
        <f>IFERROR(INDEX(Menu!$B$2:$B$500, MATCH(62, Menu!$K$2:$K$500, 0)),"")</f>
        <v/>
      </c>
      <c r="F63" t="str">
        <f>IFERROR(INDEX(Menu!$B$2:$B$500, MATCH(62, Menu!$L$2:$L$500, 0)),"")</f>
        <v/>
      </c>
    </row>
    <row r="64" spans="1:6">
      <c r="A64" t="str">
        <f>IFERROR(INDEX(Menu!$B$2:$B$500, MATCH(63, Menu!$G$2:$G$500, 0)),"")</f>
        <v/>
      </c>
      <c r="B64" t="str">
        <f>IFERROR(INDEX(Menu!$B$2:$B$500, MATCH(63, Menu!$H$2:$H$500, 0)),"")</f>
        <v/>
      </c>
      <c r="C64" t="str">
        <f>IFERROR(INDEX(Menu!$B$2:$B$500, MATCH(63, Menu!$I$2:$I$500, 0)),"")</f>
        <v/>
      </c>
      <c r="D64" t="str">
        <f>IFERROR(INDEX(Menu!$B$2:$B$500, MATCH(63, Menu!$J$2:$J$500, 0)),"")</f>
        <v/>
      </c>
      <c r="E64" t="str">
        <f>IFERROR(INDEX(Menu!$B$2:$B$500, MATCH(63, Menu!$K$2:$K$500, 0)),"")</f>
        <v/>
      </c>
      <c r="F64" t="str">
        <f>IFERROR(INDEX(Menu!$B$2:$B$500, MATCH(63, Menu!$L$2:$L$500, 0)),"")</f>
        <v/>
      </c>
    </row>
    <row r="65" spans="1:6">
      <c r="A65" t="str">
        <f>IFERROR(INDEX(Menu!$B$2:$B$500, MATCH(64, Menu!$G$2:$G$500, 0)),"")</f>
        <v/>
      </c>
      <c r="B65" t="str">
        <f>IFERROR(INDEX(Menu!$B$2:$B$500, MATCH(64, Menu!$H$2:$H$500, 0)),"")</f>
        <v/>
      </c>
      <c r="C65" t="str">
        <f>IFERROR(INDEX(Menu!$B$2:$B$500, MATCH(64, Menu!$I$2:$I$500, 0)),"")</f>
        <v/>
      </c>
      <c r="D65" t="str">
        <f>IFERROR(INDEX(Menu!$B$2:$B$500, MATCH(64, Menu!$J$2:$J$500, 0)),"")</f>
        <v/>
      </c>
      <c r="E65" t="str">
        <f>IFERROR(INDEX(Menu!$B$2:$B$500, MATCH(64, Menu!$K$2:$K$500, 0)),"")</f>
        <v/>
      </c>
      <c r="F65" t="str">
        <f>IFERROR(INDEX(Menu!$B$2:$B$500, MATCH(64, Menu!$L$2:$L$500, 0)),"")</f>
        <v/>
      </c>
    </row>
    <row r="66" spans="1:6">
      <c r="A66" t="str">
        <f>IFERROR(INDEX(Menu!$B$2:$B$500, MATCH(65, Menu!$G$2:$G$500, 0)),"")</f>
        <v/>
      </c>
      <c r="B66" t="str">
        <f>IFERROR(INDEX(Menu!$B$2:$B$500, MATCH(65, Menu!$H$2:$H$500, 0)),"")</f>
        <v/>
      </c>
      <c r="C66" t="str">
        <f>IFERROR(INDEX(Menu!$B$2:$B$500, MATCH(65, Menu!$I$2:$I$500, 0)),"")</f>
        <v/>
      </c>
      <c r="D66" t="str">
        <f>IFERROR(INDEX(Menu!$B$2:$B$500, MATCH(65, Menu!$J$2:$J$500, 0)),"")</f>
        <v/>
      </c>
      <c r="E66" t="str">
        <f>IFERROR(INDEX(Menu!$B$2:$B$500, MATCH(65, Menu!$K$2:$K$500, 0)),"")</f>
        <v/>
      </c>
      <c r="F66" t="str">
        <f>IFERROR(INDEX(Menu!$B$2:$B$500, MATCH(65, Menu!$L$2:$L$500, 0)),"")</f>
        <v/>
      </c>
    </row>
    <row r="67" spans="1:6">
      <c r="A67" t="str">
        <f>IFERROR(INDEX(Menu!$B$2:$B$500, MATCH(66, Menu!$G$2:$G$500, 0)),"")</f>
        <v/>
      </c>
      <c r="B67" t="str">
        <f>IFERROR(INDEX(Menu!$B$2:$B$500, MATCH(66, Menu!$H$2:$H$500, 0)),"")</f>
        <v/>
      </c>
      <c r="C67" t="str">
        <f>IFERROR(INDEX(Menu!$B$2:$B$500, MATCH(66, Menu!$I$2:$I$500, 0)),"")</f>
        <v/>
      </c>
      <c r="D67" t="str">
        <f>IFERROR(INDEX(Menu!$B$2:$B$500, MATCH(66, Menu!$J$2:$J$500, 0)),"")</f>
        <v/>
      </c>
      <c r="E67" t="str">
        <f>IFERROR(INDEX(Menu!$B$2:$B$500, MATCH(66, Menu!$K$2:$K$500, 0)),"")</f>
        <v/>
      </c>
      <c r="F67" t="str">
        <f>IFERROR(INDEX(Menu!$B$2:$B$500, MATCH(66, Menu!$L$2:$L$500, 0)),"")</f>
        <v/>
      </c>
    </row>
    <row r="68" spans="1:6">
      <c r="A68" t="str">
        <f>IFERROR(INDEX(Menu!$B$2:$B$500, MATCH(67, Menu!$G$2:$G$500, 0)),"")</f>
        <v/>
      </c>
      <c r="B68" t="str">
        <f>IFERROR(INDEX(Menu!$B$2:$B$500, MATCH(67, Menu!$H$2:$H$500, 0)),"")</f>
        <v/>
      </c>
      <c r="C68" t="str">
        <f>IFERROR(INDEX(Menu!$B$2:$B$500, MATCH(67, Menu!$I$2:$I$500, 0)),"")</f>
        <v/>
      </c>
      <c r="D68" t="str">
        <f>IFERROR(INDEX(Menu!$B$2:$B$500, MATCH(67, Menu!$J$2:$J$500, 0)),"")</f>
        <v/>
      </c>
      <c r="E68" t="str">
        <f>IFERROR(INDEX(Menu!$B$2:$B$500, MATCH(67, Menu!$K$2:$K$500, 0)),"")</f>
        <v/>
      </c>
      <c r="F68" t="str">
        <f>IFERROR(INDEX(Menu!$B$2:$B$500, MATCH(67, Menu!$L$2:$L$500, 0)),"")</f>
        <v/>
      </c>
    </row>
    <row r="69" spans="1:6">
      <c r="A69" t="str">
        <f>IFERROR(INDEX(Menu!$B$2:$B$500, MATCH(68, Menu!$G$2:$G$500, 0)),"")</f>
        <v/>
      </c>
      <c r="B69" t="str">
        <f>IFERROR(INDEX(Menu!$B$2:$B$500, MATCH(68, Menu!$H$2:$H$500, 0)),"")</f>
        <v/>
      </c>
      <c r="C69" t="str">
        <f>IFERROR(INDEX(Menu!$B$2:$B$500, MATCH(68, Menu!$I$2:$I$500, 0)),"")</f>
        <v/>
      </c>
      <c r="D69" t="str">
        <f>IFERROR(INDEX(Menu!$B$2:$B$500, MATCH(68, Menu!$J$2:$J$500, 0)),"")</f>
        <v/>
      </c>
      <c r="E69" t="str">
        <f>IFERROR(INDEX(Menu!$B$2:$B$500, MATCH(68, Menu!$K$2:$K$500, 0)),"")</f>
        <v/>
      </c>
      <c r="F69" t="str">
        <f>IFERROR(INDEX(Menu!$B$2:$B$500, MATCH(68, Menu!$L$2:$L$500, 0)),"")</f>
        <v/>
      </c>
    </row>
    <row r="70" spans="1:6">
      <c r="A70" t="str">
        <f>IFERROR(INDEX(Menu!$B$2:$B$500, MATCH(69, Menu!$G$2:$G$500, 0)),"")</f>
        <v/>
      </c>
      <c r="B70" t="str">
        <f>IFERROR(INDEX(Menu!$B$2:$B$500, MATCH(69, Menu!$H$2:$H$500, 0)),"")</f>
        <v/>
      </c>
      <c r="C70" t="str">
        <f>IFERROR(INDEX(Menu!$B$2:$B$500, MATCH(69, Menu!$I$2:$I$500, 0)),"")</f>
        <v/>
      </c>
      <c r="D70" t="str">
        <f>IFERROR(INDEX(Menu!$B$2:$B$500, MATCH(69, Menu!$J$2:$J$500, 0)),"")</f>
        <v/>
      </c>
      <c r="E70" t="str">
        <f>IFERROR(INDEX(Menu!$B$2:$B$500, MATCH(69, Menu!$K$2:$K$500, 0)),"")</f>
        <v/>
      </c>
      <c r="F70" t="str">
        <f>IFERROR(INDEX(Menu!$B$2:$B$500, MATCH(69, Menu!$L$2:$L$500, 0)),"")</f>
        <v/>
      </c>
    </row>
    <row r="71" spans="1:6">
      <c r="A71" t="str">
        <f>IFERROR(INDEX(Menu!$B$2:$B$500, MATCH(70, Menu!$G$2:$G$500, 0)),"")</f>
        <v/>
      </c>
      <c r="B71" t="str">
        <f>IFERROR(INDEX(Menu!$B$2:$B$500, MATCH(70, Menu!$H$2:$H$500, 0)),"")</f>
        <v/>
      </c>
      <c r="C71" t="str">
        <f>IFERROR(INDEX(Menu!$B$2:$B$500, MATCH(70, Menu!$I$2:$I$500, 0)),"")</f>
        <v/>
      </c>
      <c r="D71" t="str">
        <f>IFERROR(INDEX(Menu!$B$2:$B$500, MATCH(70, Menu!$J$2:$J$500, 0)),"")</f>
        <v/>
      </c>
      <c r="E71" t="str">
        <f>IFERROR(INDEX(Menu!$B$2:$B$500, MATCH(70, Menu!$K$2:$K$500, 0)),"")</f>
        <v/>
      </c>
      <c r="F71" t="str">
        <f>IFERROR(INDEX(Menu!$B$2:$B$500, MATCH(70, Menu!$L$2:$L$500, 0)),"")</f>
        <v/>
      </c>
    </row>
    <row r="72" spans="1:6">
      <c r="A72" t="str">
        <f>IFERROR(INDEX(Menu!$B$2:$B$500, MATCH(71, Menu!$G$2:$G$500, 0)),"")</f>
        <v/>
      </c>
      <c r="B72" t="str">
        <f>IFERROR(INDEX(Menu!$B$2:$B$500, MATCH(71, Menu!$H$2:$H$500, 0)),"")</f>
        <v/>
      </c>
      <c r="C72" t="str">
        <f>IFERROR(INDEX(Menu!$B$2:$B$500, MATCH(71, Menu!$I$2:$I$500, 0)),"")</f>
        <v/>
      </c>
      <c r="D72" t="str">
        <f>IFERROR(INDEX(Menu!$B$2:$B$500, MATCH(71, Menu!$J$2:$J$500, 0)),"")</f>
        <v/>
      </c>
      <c r="E72" t="str">
        <f>IFERROR(INDEX(Menu!$B$2:$B$500, MATCH(71, Menu!$K$2:$K$500, 0)),"")</f>
        <v/>
      </c>
      <c r="F72" t="str">
        <f>IFERROR(INDEX(Menu!$B$2:$B$500, MATCH(71, Menu!$L$2:$L$500, 0)),"")</f>
        <v/>
      </c>
    </row>
    <row r="73" spans="1:6">
      <c r="A73" t="str">
        <f>IFERROR(INDEX(Menu!$B$2:$B$500, MATCH(72, Menu!$G$2:$G$500, 0)),"")</f>
        <v/>
      </c>
      <c r="B73" t="str">
        <f>IFERROR(INDEX(Menu!$B$2:$B$500, MATCH(72, Menu!$H$2:$H$500, 0)),"")</f>
        <v/>
      </c>
      <c r="C73" t="str">
        <f>IFERROR(INDEX(Menu!$B$2:$B$500, MATCH(72, Menu!$I$2:$I$500, 0)),"")</f>
        <v/>
      </c>
      <c r="D73" t="str">
        <f>IFERROR(INDEX(Menu!$B$2:$B$500, MATCH(72, Menu!$J$2:$J$500, 0)),"")</f>
        <v/>
      </c>
      <c r="E73" t="str">
        <f>IFERROR(INDEX(Menu!$B$2:$B$500, MATCH(72, Menu!$K$2:$K$500, 0)),"")</f>
        <v/>
      </c>
      <c r="F73" t="str">
        <f>IFERROR(INDEX(Menu!$B$2:$B$500, MATCH(72, Menu!$L$2:$L$500, 0)),"")</f>
        <v/>
      </c>
    </row>
    <row r="74" spans="1:6">
      <c r="A74" t="str">
        <f>IFERROR(INDEX(Menu!$B$2:$B$500, MATCH(73, Menu!$G$2:$G$500, 0)),"")</f>
        <v/>
      </c>
      <c r="B74" t="str">
        <f>IFERROR(INDEX(Menu!$B$2:$B$500, MATCH(73, Menu!$H$2:$H$500, 0)),"")</f>
        <v/>
      </c>
      <c r="C74" t="str">
        <f>IFERROR(INDEX(Menu!$B$2:$B$500, MATCH(73, Menu!$I$2:$I$500, 0)),"")</f>
        <v/>
      </c>
      <c r="D74" t="str">
        <f>IFERROR(INDEX(Menu!$B$2:$B$500, MATCH(73, Menu!$J$2:$J$500, 0)),"")</f>
        <v/>
      </c>
      <c r="E74" t="str">
        <f>IFERROR(INDEX(Menu!$B$2:$B$500, MATCH(73, Menu!$K$2:$K$500, 0)),"")</f>
        <v/>
      </c>
      <c r="F74" t="str">
        <f>IFERROR(INDEX(Menu!$B$2:$B$500, MATCH(73, Menu!$L$2:$L$500, 0)),"")</f>
        <v/>
      </c>
    </row>
    <row r="75" spans="1:6">
      <c r="A75" t="str">
        <f>IFERROR(INDEX(Menu!$B$2:$B$500, MATCH(74, Menu!$G$2:$G$500, 0)),"")</f>
        <v/>
      </c>
      <c r="B75" t="str">
        <f>IFERROR(INDEX(Menu!$B$2:$B$500, MATCH(74, Menu!$H$2:$H$500, 0)),"")</f>
        <v/>
      </c>
      <c r="C75" t="str">
        <f>IFERROR(INDEX(Menu!$B$2:$B$500, MATCH(74, Menu!$I$2:$I$500, 0)),"")</f>
        <v/>
      </c>
      <c r="D75" t="str">
        <f>IFERROR(INDEX(Menu!$B$2:$B$500, MATCH(74, Menu!$J$2:$J$500, 0)),"")</f>
        <v/>
      </c>
      <c r="E75" t="str">
        <f>IFERROR(INDEX(Menu!$B$2:$B$500, MATCH(74, Menu!$K$2:$K$500, 0)),"")</f>
        <v/>
      </c>
      <c r="F75" t="str">
        <f>IFERROR(INDEX(Menu!$B$2:$B$500, MATCH(74, Menu!$L$2:$L$500, 0)),"")</f>
        <v/>
      </c>
    </row>
    <row r="76" spans="1:6">
      <c r="A76" t="str">
        <f>IFERROR(INDEX(Menu!$B$2:$B$500, MATCH(75, Menu!$G$2:$G$500, 0)),"")</f>
        <v/>
      </c>
      <c r="B76" t="str">
        <f>IFERROR(INDEX(Menu!$B$2:$B$500, MATCH(75, Menu!$H$2:$H$500, 0)),"")</f>
        <v/>
      </c>
      <c r="C76" t="str">
        <f>IFERROR(INDEX(Menu!$B$2:$B$500, MATCH(75, Menu!$I$2:$I$500, 0)),"")</f>
        <v/>
      </c>
      <c r="D76" t="str">
        <f>IFERROR(INDEX(Menu!$B$2:$B$500, MATCH(75, Menu!$J$2:$J$500, 0)),"")</f>
        <v/>
      </c>
      <c r="E76" t="str">
        <f>IFERROR(INDEX(Menu!$B$2:$B$500, MATCH(75, Menu!$K$2:$K$500, 0)),"")</f>
        <v/>
      </c>
      <c r="F76" t="str">
        <f>IFERROR(INDEX(Menu!$B$2:$B$500, MATCH(75, Menu!$L$2:$L$500, 0)),"")</f>
        <v/>
      </c>
    </row>
    <row r="77" spans="1:6">
      <c r="A77" t="str">
        <f>IFERROR(INDEX(Menu!$B$2:$B$500, MATCH(76, Menu!$G$2:$G$500, 0)),"")</f>
        <v/>
      </c>
      <c r="B77" t="str">
        <f>IFERROR(INDEX(Menu!$B$2:$B$500, MATCH(76, Menu!$H$2:$H$500, 0)),"")</f>
        <v/>
      </c>
      <c r="C77" t="str">
        <f>IFERROR(INDEX(Menu!$B$2:$B$500, MATCH(76, Menu!$I$2:$I$500, 0)),"")</f>
        <v/>
      </c>
      <c r="D77" t="str">
        <f>IFERROR(INDEX(Menu!$B$2:$B$500, MATCH(76, Menu!$J$2:$J$500, 0)),"")</f>
        <v/>
      </c>
      <c r="E77" t="str">
        <f>IFERROR(INDEX(Menu!$B$2:$B$500, MATCH(76, Menu!$K$2:$K$500, 0)),"")</f>
        <v/>
      </c>
      <c r="F77" t="str">
        <f>IFERROR(INDEX(Menu!$B$2:$B$500, MATCH(76, Menu!$L$2:$L$500, 0)),"")</f>
        <v/>
      </c>
    </row>
    <row r="78" spans="1:6">
      <c r="A78" t="str">
        <f>IFERROR(INDEX(Menu!$B$2:$B$500, MATCH(77, Menu!$G$2:$G$500, 0)),"")</f>
        <v/>
      </c>
      <c r="B78" t="str">
        <f>IFERROR(INDEX(Menu!$B$2:$B$500, MATCH(77, Menu!$H$2:$H$500, 0)),"")</f>
        <v/>
      </c>
      <c r="C78" t="str">
        <f>IFERROR(INDEX(Menu!$B$2:$B$500, MATCH(77, Menu!$I$2:$I$500, 0)),"")</f>
        <v/>
      </c>
      <c r="D78" t="str">
        <f>IFERROR(INDEX(Menu!$B$2:$B$500, MATCH(77, Menu!$J$2:$J$500, 0)),"")</f>
        <v/>
      </c>
      <c r="E78" t="str">
        <f>IFERROR(INDEX(Menu!$B$2:$B$500, MATCH(77, Menu!$K$2:$K$500, 0)),"")</f>
        <v/>
      </c>
      <c r="F78" t="str">
        <f>IFERROR(INDEX(Menu!$B$2:$B$500, MATCH(77, Menu!$L$2:$L$500, 0)),"")</f>
        <v/>
      </c>
    </row>
    <row r="79" spans="1:6">
      <c r="A79" t="str">
        <f>IFERROR(INDEX(Menu!$B$2:$B$500, MATCH(78, Menu!$G$2:$G$500, 0)),"")</f>
        <v/>
      </c>
      <c r="B79" t="str">
        <f>IFERROR(INDEX(Menu!$B$2:$B$500, MATCH(78, Menu!$H$2:$H$500, 0)),"")</f>
        <v/>
      </c>
      <c r="C79" t="str">
        <f>IFERROR(INDEX(Menu!$B$2:$B$500, MATCH(78, Menu!$I$2:$I$500, 0)),"")</f>
        <v/>
      </c>
      <c r="D79" t="str">
        <f>IFERROR(INDEX(Menu!$B$2:$B$500, MATCH(78, Menu!$J$2:$J$500, 0)),"")</f>
        <v/>
      </c>
      <c r="E79" t="str">
        <f>IFERROR(INDEX(Menu!$B$2:$B$500, MATCH(78, Menu!$K$2:$K$500, 0)),"")</f>
        <v/>
      </c>
      <c r="F79" t="str">
        <f>IFERROR(INDEX(Menu!$B$2:$B$500, MATCH(78, Menu!$L$2:$L$500, 0)),"")</f>
        <v/>
      </c>
    </row>
    <row r="80" spans="1:6">
      <c r="A80" t="str">
        <f>IFERROR(INDEX(Menu!$B$2:$B$500, MATCH(79, Menu!$G$2:$G$500, 0)),"")</f>
        <v/>
      </c>
      <c r="B80" t="str">
        <f>IFERROR(INDEX(Menu!$B$2:$B$500, MATCH(79, Menu!$H$2:$H$500, 0)),"")</f>
        <v/>
      </c>
      <c r="C80" t="str">
        <f>IFERROR(INDEX(Menu!$B$2:$B$500, MATCH(79, Menu!$I$2:$I$500, 0)),"")</f>
        <v/>
      </c>
      <c r="D80" t="str">
        <f>IFERROR(INDEX(Menu!$B$2:$B$500, MATCH(79, Menu!$J$2:$J$500, 0)),"")</f>
        <v/>
      </c>
      <c r="E80" t="str">
        <f>IFERROR(INDEX(Menu!$B$2:$B$500, MATCH(79, Menu!$K$2:$K$500, 0)),"")</f>
        <v/>
      </c>
      <c r="F80" t="str">
        <f>IFERROR(INDEX(Menu!$B$2:$B$500, MATCH(79, Menu!$L$2:$L$500, 0)),"")</f>
        <v/>
      </c>
    </row>
    <row r="81" spans="1:6">
      <c r="A81" t="str">
        <f>IFERROR(INDEX(Menu!$B$2:$B$500, MATCH(80, Menu!$G$2:$G$500, 0)),"")</f>
        <v/>
      </c>
      <c r="B81" t="str">
        <f>IFERROR(INDEX(Menu!$B$2:$B$500, MATCH(80, Menu!$H$2:$H$500, 0)),"")</f>
        <v/>
      </c>
      <c r="C81" t="str">
        <f>IFERROR(INDEX(Menu!$B$2:$B$500, MATCH(80, Menu!$I$2:$I$500, 0)),"")</f>
        <v/>
      </c>
      <c r="D81" t="str">
        <f>IFERROR(INDEX(Menu!$B$2:$B$500, MATCH(80, Menu!$J$2:$J$500, 0)),"")</f>
        <v/>
      </c>
      <c r="E81" t="str">
        <f>IFERROR(INDEX(Menu!$B$2:$B$500, MATCH(80, Menu!$K$2:$K$500, 0)),"")</f>
        <v/>
      </c>
      <c r="F81" t="str">
        <f>IFERROR(INDEX(Menu!$B$2:$B$500, MATCH(80, Menu!$L$2:$L$500, 0)),"")</f>
        <v/>
      </c>
    </row>
    <row r="82" spans="1:6">
      <c r="A82" t="str">
        <f>IFERROR(INDEX(Menu!$B$2:$B$500, MATCH(81, Menu!$G$2:$G$500, 0)),"")</f>
        <v/>
      </c>
      <c r="B82" t="str">
        <f>IFERROR(INDEX(Menu!$B$2:$B$500, MATCH(81, Menu!$H$2:$H$500, 0)),"")</f>
        <v/>
      </c>
      <c r="C82" t="str">
        <f>IFERROR(INDEX(Menu!$B$2:$B$500, MATCH(81, Menu!$I$2:$I$500, 0)),"")</f>
        <v/>
      </c>
      <c r="D82" t="str">
        <f>IFERROR(INDEX(Menu!$B$2:$B$500, MATCH(81, Menu!$J$2:$J$500, 0)),"")</f>
        <v/>
      </c>
      <c r="E82" t="str">
        <f>IFERROR(INDEX(Menu!$B$2:$B$500, MATCH(81, Menu!$K$2:$K$500, 0)),"")</f>
        <v/>
      </c>
      <c r="F82" t="str">
        <f>IFERROR(INDEX(Menu!$B$2:$B$500, MATCH(81, Menu!$L$2:$L$500, 0)),"")</f>
        <v/>
      </c>
    </row>
    <row r="83" spans="1:6">
      <c r="A83" t="str">
        <f>IFERROR(INDEX(Menu!$B$2:$B$500, MATCH(82, Menu!$G$2:$G$500, 0)),"")</f>
        <v/>
      </c>
      <c r="B83" t="str">
        <f>IFERROR(INDEX(Menu!$B$2:$B$500, MATCH(82, Menu!$H$2:$H$500, 0)),"")</f>
        <v/>
      </c>
      <c r="C83" t="str">
        <f>IFERROR(INDEX(Menu!$B$2:$B$500, MATCH(82, Menu!$I$2:$I$500, 0)),"")</f>
        <v/>
      </c>
      <c r="D83" t="str">
        <f>IFERROR(INDEX(Menu!$B$2:$B$500, MATCH(82, Menu!$J$2:$J$500, 0)),"")</f>
        <v/>
      </c>
      <c r="E83" t="str">
        <f>IFERROR(INDEX(Menu!$B$2:$B$500, MATCH(82, Menu!$K$2:$K$500, 0)),"")</f>
        <v/>
      </c>
      <c r="F83" t="str">
        <f>IFERROR(INDEX(Menu!$B$2:$B$500, MATCH(82, Menu!$L$2:$L$500, 0)),"")</f>
        <v/>
      </c>
    </row>
    <row r="84" spans="1:6">
      <c r="A84" t="str">
        <f>IFERROR(INDEX(Menu!$B$2:$B$500, MATCH(83, Menu!$G$2:$G$500, 0)),"")</f>
        <v/>
      </c>
      <c r="B84" t="str">
        <f>IFERROR(INDEX(Menu!$B$2:$B$500, MATCH(83, Menu!$H$2:$H$500, 0)),"")</f>
        <v/>
      </c>
      <c r="C84" t="str">
        <f>IFERROR(INDEX(Menu!$B$2:$B$500, MATCH(83, Menu!$I$2:$I$500, 0)),"")</f>
        <v/>
      </c>
      <c r="D84" t="str">
        <f>IFERROR(INDEX(Menu!$B$2:$B$500, MATCH(83, Menu!$J$2:$J$500, 0)),"")</f>
        <v/>
      </c>
      <c r="E84" t="str">
        <f>IFERROR(INDEX(Menu!$B$2:$B$500, MATCH(83, Menu!$K$2:$K$500, 0)),"")</f>
        <v/>
      </c>
      <c r="F84" t="str">
        <f>IFERROR(INDEX(Menu!$B$2:$B$500, MATCH(83, Menu!$L$2:$L$500, 0)),"")</f>
        <v/>
      </c>
    </row>
    <row r="85" spans="1:6">
      <c r="A85" t="str">
        <f>IFERROR(INDEX(Menu!$B$2:$B$500, MATCH(84, Menu!$G$2:$G$500, 0)),"")</f>
        <v/>
      </c>
      <c r="B85" t="str">
        <f>IFERROR(INDEX(Menu!$B$2:$B$500, MATCH(84, Menu!$H$2:$H$500, 0)),"")</f>
        <v/>
      </c>
      <c r="C85" t="str">
        <f>IFERROR(INDEX(Menu!$B$2:$B$500, MATCH(84, Menu!$I$2:$I$500, 0)),"")</f>
        <v/>
      </c>
      <c r="D85" t="str">
        <f>IFERROR(INDEX(Menu!$B$2:$B$500, MATCH(84, Menu!$J$2:$J$500, 0)),"")</f>
        <v/>
      </c>
      <c r="E85" t="str">
        <f>IFERROR(INDEX(Menu!$B$2:$B$500, MATCH(84, Menu!$K$2:$K$500, 0)),"")</f>
        <v/>
      </c>
      <c r="F85" t="str">
        <f>IFERROR(INDEX(Menu!$B$2:$B$500, MATCH(84, Menu!$L$2:$L$500, 0)),"")</f>
        <v/>
      </c>
    </row>
    <row r="86" spans="1:6">
      <c r="A86" t="str">
        <f>IFERROR(INDEX(Menu!$B$2:$B$500, MATCH(85, Menu!$G$2:$G$500, 0)),"")</f>
        <v/>
      </c>
      <c r="B86" t="str">
        <f>IFERROR(INDEX(Menu!$B$2:$B$500, MATCH(85, Menu!$H$2:$H$500, 0)),"")</f>
        <v/>
      </c>
      <c r="C86" t="str">
        <f>IFERROR(INDEX(Menu!$B$2:$B$500, MATCH(85, Menu!$I$2:$I$500, 0)),"")</f>
        <v/>
      </c>
      <c r="D86" t="str">
        <f>IFERROR(INDEX(Menu!$B$2:$B$500, MATCH(85, Menu!$J$2:$J$500, 0)),"")</f>
        <v/>
      </c>
      <c r="E86" t="str">
        <f>IFERROR(INDEX(Menu!$B$2:$B$500, MATCH(85, Menu!$K$2:$K$500, 0)),"")</f>
        <v/>
      </c>
      <c r="F86" t="str">
        <f>IFERROR(INDEX(Menu!$B$2:$B$500, MATCH(85, Menu!$L$2:$L$500, 0)),"")</f>
        <v/>
      </c>
    </row>
    <row r="87" spans="1:6">
      <c r="A87" t="str">
        <f>IFERROR(INDEX(Menu!$B$2:$B$500, MATCH(86, Menu!$G$2:$G$500, 0)),"")</f>
        <v/>
      </c>
      <c r="B87" t="str">
        <f>IFERROR(INDEX(Menu!$B$2:$B$500, MATCH(86, Menu!$H$2:$H$500, 0)),"")</f>
        <v/>
      </c>
      <c r="C87" t="str">
        <f>IFERROR(INDEX(Menu!$B$2:$B$500, MATCH(86, Menu!$I$2:$I$500, 0)),"")</f>
        <v/>
      </c>
      <c r="D87" t="str">
        <f>IFERROR(INDEX(Menu!$B$2:$B$500, MATCH(86, Menu!$J$2:$J$500, 0)),"")</f>
        <v/>
      </c>
      <c r="E87" t="str">
        <f>IFERROR(INDEX(Menu!$B$2:$B$500, MATCH(86, Menu!$K$2:$K$500, 0)),"")</f>
        <v/>
      </c>
      <c r="F87" t="str">
        <f>IFERROR(INDEX(Menu!$B$2:$B$500, MATCH(86, Menu!$L$2:$L$500, 0)),"")</f>
        <v/>
      </c>
    </row>
    <row r="88" spans="1:6">
      <c r="A88" t="str">
        <f>IFERROR(INDEX(Menu!$B$2:$B$500, MATCH(87, Menu!$G$2:$G$500, 0)),"")</f>
        <v/>
      </c>
      <c r="B88" t="str">
        <f>IFERROR(INDEX(Menu!$B$2:$B$500, MATCH(87, Menu!$H$2:$H$500, 0)),"")</f>
        <v/>
      </c>
      <c r="C88" t="str">
        <f>IFERROR(INDEX(Menu!$B$2:$B$500, MATCH(87, Menu!$I$2:$I$500, 0)),"")</f>
        <v/>
      </c>
      <c r="D88" t="str">
        <f>IFERROR(INDEX(Menu!$B$2:$B$500, MATCH(87, Menu!$J$2:$J$500, 0)),"")</f>
        <v/>
      </c>
      <c r="E88" t="str">
        <f>IFERROR(INDEX(Menu!$B$2:$B$500, MATCH(87, Menu!$K$2:$K$500, 0)),"")</f>
        <v/>
      </c>
      <c r="F88" t="str">
        <f>IFERROR(INDEX(Menu!$B$2:$B$500, MATCH(87, Menu!$L$2:$L$500, 0)),"")</f>
        <v/>
      </c>
    </row>
    <row r="89" spans="1:6">
      <c r="A89" t="str">
        <f>IFERROR(INDEX(Menu!$B$2:$B$500, MATCH(88, Menu!$G$2:$G$500, 0)),"")</f>
        <v/>
      </c>
      <c r="B89" t="str">
        <f>IFERROR(INDEX(Menu!$B$2:$B$500, MATCH(88, Menu!$H$2:$H$500, 0)),"")</f>
        <v/>
      </c>
      <c r="C89" t="str">
        <f>IFERROR(INDEX(Menu!$B$2:$B$500, MATCH(88, Menu!$I$2:$I$500, 0)),"")</f>
        <v/>
      </c>
      <c r="D89" t="str">
        <f>IFERROR(INDEX(Menu!$B$2:$B$500, MATCH(88, Menu!$J$2:$J$500, 0)),"")</f>
        <v/>
      </c>
      <c r="E89" t="str">
        <f>IFERROR(INDEX(Menu!$B$2:$B$500, MATCH(88, Menu!$K$2:$K$500, 0)),"")</f>
        <v/>
      </c>
      <c r="F89" t="str">
        <f>IFERROR(INDEX(Menu!$B$2:$B$500, MATCH(88, Menu!$L$2:$L$500, 0)),"")</f>
        <v/>
      </c>
    </row>
    <row r="90" spans="1:6">
      <c r="A90" t="str">
        <f>IFERROR(INDEX(Menu!$B$2:$B$500, MATCH(89, Menu!$G$2:$G$500, 0)),"")</f>
        <v/>
      </c>
      <c r="B90" t="str">
        <f>IFERROR(INDEX(Menu!$B$2:$B$500, MATCH(89, Menu!$H$2:$H$500, 0)),"")</f>
        <v/>
      </c>
      <c r="C90" t="str">
        <f>IFERROR(INDEX(Menu!$B$2:$B$500, MATCH(89, Menu!$I$2:$I$500, 0)),"")</f>
        <v/>
      </c>
      <c r="D90" t="str">
        <f>IFERROR(INDEX(Menu!$B$2:$B$500, MATCH(89, Menu!$J$2:$J$500, 0)),"")</f>
        <v/>
      </c>
      <c r="E90" t="str">
        <f>IFERROR(INDEX(Menu!$B$2:$B$500, MATCH(89, Menu!$K$2:$K$500, 0)),"")</f>
        <v/>
      </c>
      <c r="F90" t="str">
        <f>IFERROR(INDEX(Menu!$B$2:$B$500, MATCH(89, Menu!$L$2:$L$500, 0)),"")</f>
        <v/>
      </c>
    </row>
    <row r="91" spans="1:6">
      <c r="A91" t="str">
        <f>IFERROR(INDEX(Menu!$B$2:$B$500, MATCH(90, Menu!$G$2:$G$500, 0)),"")</f>
        <v/>
      </c>
      <c r="B91" t="str">
        <f>IFERROR(INDEX(Menu!$B$2:$B$500, MATCH(90, Menu!$H$2:$H$500, 0)),"")</f>
        <v/>
      </c>
      <c r="C91" t="str">
        <f>IFERROR(INDEX(Menu!$B$2:$B$500, MATCH(90, Menu!$I$2:$I$500, 0)),"")</f>
        <v/>
      </c>
      <c r="D91" t="str">
        <f>IFERROR(INDEX(Menu!$B$2:$B$500, MATCH(90, Menu!$J$2:$J$500, 0)),"")</f>
        <v/>
      </c>
      <c r="E91" t="str">
        <f>IFERROR(INDEX(Menu!$B$2:$B$500, MATCH(90, Menu!$K$2:$K$500, 0)),"")</f>
        <v/>
      </c>
      <c r="F91" t="str">
        <f>IFERROR(INDEX(Menu!$B$2:$B$500, MATCH(90, Menu!$L$2:$L$500, 0)),"")</f>
        <v/>
      </c>
    </row>
    <row r="92" spans="1:6">
      <c r="A92" t="str">
        <f>IFERROR(INDEX(Menu!$B$2:$B$500, MATCH(91, Menu!$G$2:$G$500, 0)),"")</f>
        <v/>
      </c>
      <c r="B92" t="str">
        <f>IFERROR(INDEX(Menu!$B$2:$B$500, MATCH(91, Menu!$H$2:$H$500, 0)),"")</f>
        <v/>
      </c>
      <c r="C92" t="str">
        <f>IFERROR(INDEX(Menu!$B$2:$B$500, MATCH(91, Menu!$I$2:$I$500, 0)),"")</f>
        <v/>
      </c>
      <c r="D92" t="str">
        <f>IFERROR(INDEX(Menu!$B$2:$B$500, MATCH(91, Menu!$J$2:$J$500, 0)),"")</f>
        <v/>
      </c>
      <c r="E92" t="str">
        <f>IFERROR(INDEX(Menu!$B$2:$B$500, MATCH(91, Menu!$K$2:$K$500, 0)),"")</f>
        <v/>
      </c>
      <c r="F92" t="str">
        <f>IFERROR(INDEX(Menu!$B$2:$B$500, MATCH(91, Menu!$L$2:$L$500, 0)),"")</f>
        <v/>
      </c>
    </row>
    <row r="93" spans="1:6">
      <c r="A93" t="str">
        <f>IFERROR(INDEX(Menu!$B$2:$B$500, MATCH(92, Menu!$G$2:$G$500, 0)),"")</f>
        <v/>
      </c>
      <c r="B93" t="str">
        <f>IFERROR(INDEX(Menu!$B$2:$B$500, MATCH(92, Menu!$H$2:$H$500, 0)),"")</f>
        <v/>
      </c>
      <c r="C93" t="str">
        <f>IFERROR(INDEX(Menu!$B$2:$B$500, MATCH(92, Menu!$I$2:$I$500, 0)),"")</f>
        <v/>
      </c>
      <c r="D93" t="str">
        <f>IFERROR(INDEX(Menu!$B$2:$B$500, MATCH(92, Menu!$J$2:$J$500, 0)),"")</f>
        <v/>
      </c>
      <c r="E93" t="str">
        <f>IFERROR(INDEX(Menu!$B$2:$B$500, MATCH(92, Menu!$K$2:$K$500, 0)),"")</f>
        <v/>
      </c>
      <c r="F93" t="str">
        <f>IFERROR(INDEX(Menu!$B$2:$B$500, MATCH(92, Menu!$L$2:$L$500, 0)),"")</f>
        <v/>
      </c>
    </row>
    <row r="94" spans="1:6">
      <c r="A94" t="str">
        <f>IFERROR(INDEX(Menu!$B$2:$B$500, MATCH(93, Menu!$G$2:$G$500, 0)),"")</f>
        <v/>
      </c>
      <c r="B94" t="str">
        <f>IFERROR(INDEX(Menu!$B$2:$B$500, MATCH(93, Menu!$H$2:$H$500, 0)),"")</f>
        <v/>
      </c>
      <c r="C94" t="str">
        <f>IFERROR(INDEX(Menu!$B$2:$B$500, MATCH(93, Menu!$I$2:$I$500, 0)),"")</f>
        <v/>
      </c>
      <c r="D94" t="str">
        <f>IFERROR(INDEX(Menu!$B$2:$B$500, MATCH(93, Menu!$J$2:$J$500, 0)),"")</f>
        <v/>
      </c>
      <c r="E94" t="str">
        <f>IFERROR(INDEX(Menu!$B$2:$B$500, MATCH(93, Menu!$K$2:$K$500, 0)),"")</f>
        <v/>
      </c>
      <c r="F94" t="str">
        <f>IFERROR(INDEX(Menu!$B$2:$B$500, MATCH(93, Menu!$L$2:$L$500, 0)),"")</f>
        <v/>
      </c>
    </row>
    <row r="95" spans="1:6">
      <c r="A95" t="str">
        <f>IFERROR(INDEX(Menu!$B$2:$B$500, MATCH(94, Menu!$G$2:$G$500, 0)),"")</f>
        <v/>
      </c>
      <c r="B95" t="str">
        <f>IFERROR(INDEX(Menu!$B$2:$B$500, MATCH(94, Menu!$H$2:$H$500, 0)),"")</f>
        <v/>
      </c>
      <c r="C95" t="str">
        <f>IFERROR(INDEX(Menu!$B$2:$B$500, MATCH(94, Menu!$I$2:$I$500, 0)),"")</f>
        <v/>
      </c>
      <c r="D95" t="str">
        <f>IFERROR(INDEX(Menu!$B$2:$B$500, MATCH(94, Menu!$J$2:$J$500, 0)),"")</f>
        <v/>
      </c>
      <c r="E95" t="str">
        <f>IFERROR(INDEX(Menu!$B$2:$B$500, MATCH(94, Menu!$K$2:$K$500, 0)),"")</f>
        <v/>
      </c>
      <c r="F95" t="str">
        <f>IFERROR(INDEX(Menu!$B$2:$B$500, MATCH(94, Menu!$L$2:$L$500, 0)),"")</f>
        <v/>
      </c>
    </row>
    <row r="96" spans="1:6">
      <c r="A96" t="str">
        <f>IFERROR(INDEX(Menu!$B$2:$B$500, MATCH(95, Menu!$G$2:$G$500, 0)),"")</f>
        <v/>
      </c>
      <c r="B96" t="str">
        <f>IFERROR(INDEX(Menu!$B$2:$B$500, MATCH(95, Menu!$H$2:$H$500, 0)),"")</f>
        <v/>
      </c>
      <c r="C96" t="str">
        <f>IFERROR(INDEX(Menu!$B$2:$B$500, MATCH(95, Menu!$I$2:$I$500, 0)),"")</f>
        <v/>
      </c>
      <c r="D96" t="str">
        <f>IFERROR(INDEX(Menu!$B$2:$B$500, MATCH(95, Menu!$J$2:$J$500, 0)),"")</f>
        <v/>
      </c>
      <c r="E96" t="str">
        <f>IFERROR(INDEX(Menu!$B$2:$B$500, MATCH(95, Menu!$K$2:$K$500, 0)),"")</f>
        <v/>
      </c>
      <c r="F96" t="str">
        <f>IFERROR(INDEX(Menu!$B$2:$B$500, MATCH(95, Menu!$L$2:$L$500, 0)),"")</f>
        <v/>
      </c>
    </row>
    <row r="97" spans="1:6">
      <c r="A97" t="str">
        <f>IFERROR(INDEX(Menu!$B$2:$B$500, MATCH(96, Menu!$G$2:$G$500, 0)),"")</f>
        <v/>
      </c>
      <c r="B97" t="str">
        <f>IFERROR(INDEX(Menu!$B$2:$B$500, MATCH(96, Menu!$H$2:$H$500, 0)),"")</f>
        <v/>
      </c>
      <c r="C97" t="str">
        <f>IFERROR(INDEX(Menu!$B$2:$B$500, MATCH(96, Menu!$I$2:$I$500, 0)),"")</f>
        <v/>
      </c>
      <c r="D97" t="str">
        <f>IFERROR(INDEX(Menu!$B$2:$B$500, MATCH(96, Menu!$J$2:$J$500, 0)),"")</f>
        <v/>
      </c>
      <c r="E97" t="str">
        <f>IFERROR(INDEX(Menu!$B$2:$B$500, MATCH(96, Menu!$K$2:$K$500, 0)),"")</f>
        <v/>
      </c>
      <c r="F97" t="str">
        <f>IFERROR(INDEX(Menu!$B$2:$B$500, MATCH(96, Menu!$L$2:$L$500, 0)),"")</f>
        <v/>
      </c>
    </row>
    <row r="98" spans="1:6">
      <c r="A98" t="str">
        <f>IFERROR(INDEX(Menu!$B$2:$B$500, MATCH(97, Menu!$G$2:$G$500, 0)),"")</f>
        <v/>
      </c>
      <c r="B98" t="str">
        <f>IFERROR(INDEX(Menu!$B$2:$B$500, MATCH(97, Menu!$H$2:$H$500, 0)),"")</f>
        <v/>
      </c>
      <c r="C98" t="str">
        <f>IFERROR(INDEX(Menu!$B$2:$B$500, MATCH(97, Menu!$I$2:$I$500, 0)),"")</f>
        <v/>
      </c>
      <c r="D98" t="str">
        <f>IFERROR(INDEX(Menu!$B$2:$B$500, MATCH(97, Menu!$J$2:$J$500, 0)),"")</f>
        <v/>
      </c>
      <c r="E98" t="str">
        <f>IFERROR(INDEX(Menu!$B$2:$B$500, MATCH(97, Menu!$K$2:$K$500, 0)),"")</f>
        <v/>
      </c>
      <c r="F98" t="str">
        <f>IFERROR(INDEX(Menu!$B$2:$B$500, MATCH(97, Menu!$L$2:$L$500, 0)),"")</f>
        <v/>
      </c>
    </row>
    <row r="99" spans="1:6">
      <c r="A99" t="str">
        <f>IFERROR(INDEX(Menu!$B$2:$B$500, MATCH(98, Menu!$G$2:$G$500, 0)),"")</f>
        <v/>
      </c>
      <c r="B99" t="str">
        <f>IFERROR(INDEX(Menu!$B$2:$B$500, MATCH(98, Menu!$H$2:$H$500, 0)),"")</f>
        <v/>
      </c>
      <c r="C99" t="str">
        <f>IFERROR(INDEX(Menu!$B$2:$B$500, MATCH(98, Menu!$I$2:$I$500, 0)),"")</f>
        <v/>
      </c>
      <c r="D99" t="str">
        <f>IFERROR(INDEX(Menu!$B$2:$B$500, MATCH(98, Menu!$J$2:$J$500, 0)),"")</f>
        <v/>
      </c>
      <c r="E99" t="str">
        <f>IFERROR(INDEX(Menu!$B$2:$B$500, MATCH(98, Menu!$K$2:$K$500, 0)),"")</f>
        <v/>
      </c>
      <c r="F99" t="str">
        <f>IFERROR(INDEX(Menu!$B$2:$B$500, MATCH(98, Menu!$L$2:$L$500, 0)),"")</f>
        <v/>
      </c>
    </row>
    <row r="100" spans="1:6">
      <c r="A100" t="str">
        <f>IFERROR(INDEX(Menu!$B$2:$B$500, MATCH(99, Menu!$G$2:$G$500, 0)),"")</f>
        <v/>
      </c>
      <c r="B100" t="str">
        <f>IFERROR(INDEX(Menu!$B$2:$B$500, MATCH(99, Menu!$H$2:$H$500, 0)),"")</f>
        <v/>
      </c>
      <c r="C100" t="str">
        <f>IFERROR(INDEX(Menu!$B$2:$B$500, MATCH(99, Menu!$I$2:$I$500, 0)),"")</f>
        <v/>
      </c>
      <c r="D100" t="str">
        <f>IFERROR(INDEX(Menu!$B$2:$B$500, MATCH(99, Menu!$J$2:$J$500, 0)),"")</f>
        <v/>
      </c>
      <c r="E100" t="str">
        <f>IFERROR(INDEX(Menu!$B$2:$B$500, MATCH(99, Menu!$K$2:$K$500, 0)),"")</f>
        <v/>
      </c>
      <c r="F100" t="str">
        <f>IFERROR(INDEX(Menu!$B$2:$B$500, MATCH(99, Menu!$L$2:$L$500, 0)),"")</f>
        <v/>
      </c>
    </row>
    <row r="101" spans="1:6">
      <c r="A101" t="str">
        <f>IFERROR(INDEX(Menu!$B$2:$B$500, MATCH(100, Menu!$G$2:$G$500, 0)),"")</f>
        <v/>
      </c>
      <c r="B101" t="str">
        <f>IFERROR(INDEX(Menu!$B$2:$B$500, MATCH(100, Menu!$H$2:$H$500, 0)),"")</f>
        <v/>
      </c>
      <c r="C101" t="str">
        <f>IFERROR(INDEX(Menu!$B$2:$B$500, MATCH(100, Menu!$I$2:$I$500, 0)),"")</f>
        <v/>
      </c>
      <c r="D101" t="str">
        <f>IFERROR(INDEX(Menu!$B$2:$B$500, MATCH(100, Menu!$J$2:$J$500, 0)),"")</f>
        <v/>
      </c>
      <c r="E101" t="str">
        <f>IFERROR(INDEX(Menu!$B$2:$B$500, MATCH(100, Menu!$K$2:$K$500, 0)),"")</f>
        <v/>
      </c>
      <c r="F101" t="str">
        <f>IFERROR(INDEX(Menu!$B$2:$B$500, MATCH(100, Menu!$L$2:$L$500, 0)),"")</f>
        <v/>
      </c>
    </row>
    <row r="102" spans="1:6">
      <c r="A102" t="str">
        <f>IFERROR(INDEX(Menu!$B$2:$B$500, MATCH(101, Menu!$G$2:$G$500, 0)),"")</f>
        <v/>
      </c>
      <c r="B102" t="str">
        <f>IFERROR(INDEX(Menu!$B$2:$B$500, MATCH(101, Menu!$H$2:$H$500, 0)),"")</f>
        <v/>
      </c>
      <c r="C102" t="str">
        <f>IFERROR(INDEX(Menu!$B$2:$B$500, MATCH(101, Menu!$I$2:$I$500, 0)),"")</f>
        <v/>
      </c>
      <c r="D102" t="str">
        <f>IFERROR(INDEX(Menu!$B$2:$B$500, MATCH(101, Menu!$J$2:$J$500, 0)),"")</f>
        <v/>
      </c>
      <c r="E102" t="str">
        <f>IFERROR(INDEX(Menu!$B$2:$B$500, MATCH(101, Menu!$K$2:$K$500, 0)),"")</f>
        <v/>
      </c>
      <c r="F102" t="str">
        <f>IFERROR(INDEX(Menu!$B$2:$B$500, MATCH(101, Menu!$L$2:$L$500, 0)),"")</f>
        <v/>
      </c>
    </row>
    <row r="103" spans="1:6">
      <c r="A103" t="str">
        <f>IFERROR(INDEX(Menu!$B$2:$B$500, MATCH(102, Menu!$G$2:$G$500, 0)),"")</f>
        <v/>
      </c>
      <c r="B103" t="str">
        <f>IFERROR(INDEX(Menu!$B$2:$B$500, MATCH(102, Menu!$H$2:$H$500, 0)),"")</f>
        <v/>
      </c>
      <c r="C103" t="str">
        <f>IFERROR(INDEX(Menu!$B$2:$B$500, MATCH(102, Menu!$I$2:$I$500, 0)),"")</f>
        <v/>
      </c>
      <c r="D103" t="str">
        <f>IFERROR(INDEX(Menu!$B$2:$B$500, MATCH(102, Menu!$J$2:$J$500, 0)),"")</f>
        <v/>
      </c>
      <c r="E103" t="str">
        <f>IFERROR(INDEX(Menu!$B$2:$B$500, MATCH(102, Menu!$K$2:$K$500, 0)),"")</f>
        <v/>
      </c>
      <c r="F103" t="str">
        <f>IFERROR(INDEX(Menu!$B$2:$B$500, MATCH(102, Menu!$L$2:$L$500, 0)),"")</f>
        <v/>
      </c>
    </row>
    <row r="104" spans="1:6">
      <c r="A104" t="str">
        <f>IFERROR(INDEX(Menu!$B$2:$B$500, MATCH(103, Menu!$G$2:$G$500, 0)),"")</f>
        <v/>
      </c>
      <c r="B104" t="str">
        <f>IFERROR(INDEX(Menu!$B$2:$B$500, MATCH(103, Menu!$H$2:$H$500, 0)),"")</f>
        <v/>
      </c>
      <c r="C104" t="str">
        <f>IFERROR(INDEX(Menu!$B$2:$B$500, MATCH(103, Menu!$I$2:$I$500, 0)),"")</f>
        <v/>
      </c>
      <c r="D104" t="str">
        <f>IFERROR(INDEX(Menu!$B$2:$B$500, MATCH(103, Menu!$J$2:$J$500, 0)),"")</f>
        <v/>
      </c>
      <c r="E104" t="str">
        <f>IFERROR(INDEX(Menu!$B$2:$B$500, MATCH(103, Menu!$K$2:$K$500, 0)),"")</f>
        <v/>
      </c>
      <c r="F104" t="str">
        <f>IFERROR(INDEX(Menu!$B$2:$B$500, MATCH(103, Menu!$L$2:$L$500, 0)),"")</f>
        <v/>
      </c>
    </row>
    <row r="105" spans="1:6">
      <c r="A105" t="str">
        <f>IFERROR(INDEX(Menu!$B$2:$B$500, MATCH(104, Menu!$G$2:$G$500, 0)),"")</f>
        <v/>
      </c>
      <c r="B105" t="str">
        <f>IFERROR(INDEX(Menu!$B$2:$B$500, MATCH(104, Menu!$H$2:$H$500, 0)),"")</f>
        <v/>
      </c>
      <c r="C105" t="str">
        <f>IFERROR(INDEX(Menu!$B$2:$B$500, MATCH(104, Menu!$I$2:$I$500, 0)),"")</f>
        <v/>
      </c>
      <c r="D105" t="str">
        <f>IFERROR(INDEX(Menu!$B$2:$B$500, MATCH(104, Menu!$J$2:$J$500, 0)),"")</f>
        <v/>
      </c>
      <c r="E105" t="str">
        <f>IFERROR(INDEX(Menu!$B$2:$B$500, MATCH(104, Menu!$K$2:$K$500, 0)),"")</f>
        <v/>
      </c>
      <c r="F105" t="str">
        <f>IFERROR(INDEX(Menu!$B$2:$B$500, MATCH(104, Menu!$L$2:$L$500, 0)),"")</f>
        <v/>
      </c>
    </row>
    <row r="106" spans="1:6">
      <c r="A106" t="str">
        <f>IFERROR(INDEX(Menu!$B$2:$B$500, MATCH(105, Menu!$G$2:$G$500, 0)),"")</f>
        <v/>
      </c>
      <c r="B106" t="str">
        <f>IFERROR(INDEX(Menu!$B$2:$B$500, MATCH(105, Menu!$H$2:$H$500, 0)),"")</f>
        <v/>
      </c>
      <c r="C106" t="str">
        <f>IFERROR(INDEX(Menu!$B$2:$B$500, MATCH(105, Menu!$I$2:$I$500, 0)),"")</f>
        <v/>
      </c>
      <c r="D106" t="str">
        <f>IFERROR(INDEX(Menu!$B$2:$B$500, MATCH(105, Menu!$J$2:$J$500, 0)),"")</f>
        <v/>
      </c>
      <c r="E106" t="str">
        <f>IFERROR(INDEX(Menu!$B$2:$B$500, MATCH(105, Menu!$K$2:$K$500, 0)),"")</f>
        <v/>
      </c>
      <c r="F106" t="str">
        <f>IFERROR(INDEX(Menu!$B$2:$B$500, MATCH(105, Menu!$L$2:$L$500, 0)),"")</f>
        <v/>
      </c>
    </row>
    <row r="107" spans="1:6">
      <c r="A107" t="str">
        <f>IFERROR(INDEX(Menu!$B$2:$B$500, MATCH(106, Menu!$G$2:$G$500, 0)),"")</f>
        <v/>
      </c>
      <c r="B107" t="str">
        <f>IFERROR(INDEX(Menu!$B$2:$B$500, MATCH(106, Menu!$H$2:$H$500, 0)),"")</f>
        <v/>
      </c>
      <c r="C107" t="str">
        <f>IFERROR(INDEX(Menu!$B$2:$B$500, MATCH(106, Menu!$I$2:$I$500, 0)),"")</f>
        <v/>
      </c>
      <c r="D107" t="str">
        <f>IFERROR(INDEX(Menu!$B$2:$B$500, MATCH(106, Menu!$J$2:$J$500, 0)),"")</f>
        <v/>
      </c>
      <c r="E107" t="str">
        <f>IFERROR(INDEX(Menu!$B$2:$B$500, MATCH(106, Menu!$K$2:$K$500, 0)),"")</f>
        <v/>
      </c>
      <c r="F107" t="str">
        <f>IFERROR(INDEX(Menu!$B$2:$B$500, MATCH(106, Menu!$L$2:$L$500, 0)),"")</f>
        <v/>
      </c>
    </row>
    <row r="108" spans="1:6">
      <c r="A108" t="str">
        <f>IFERROR(INDEX(Menu!$B$2:$B$500, MATCH(107, Menu!$G$2:$G$500, 0)),"")</f>
        <v/>
      </c>
      <c r="B108" t="str">
        <f>IFERROR(INDEX(Menu!$B$2:$B$500, MATCH(107, Menu!$H$2:$H$500, 0)),"")</f>
        <v/>
      </c>
      <c r="C108" t="str">
        <f>IFERROR(INDEX(Menu!$B$2:$B$500, MATCH(107, Menu!$I$2:$I$500, 0)),"")</f>
        <v/>
      </c>
      <c r="D108" t="str">
        <f>IFERROR(INDEX(Menu!$B$2:$B$500, MATCH(107, Menu!$J$2:$J$500, 0)),"")</f>
        <v/>
      </c>
      <c r="E108" t="str">
        <f>IFERROR(INDEX(Menu!$B$2:$B$500, MATCH(107, Menu!$K$2:$K$500, 0)),"")</f>
        <v/>
      </c>
      <c r="F108" t="str">
        <f>IFERROR(INDEX(Menu!$B$2:$B$500, MATCH(107, Menu!$L$2:$L$500, 0)),"")</f>
        <v/>
      </c>
    </row>
    <row r="109" spans="1:6">
      <c r="A109" t="str">
        <f>IFERROR(INDEX(Menu!$B$2:$B$500, MATCH(108, Menu!$G$2:$G$500, 0)),"")</f>
        <v/>
      </c>
      <c r="B109" t="str">
        <f>IFERROR(INDEX(Menu!$B$2:$B$500, MATCH(108, Menu!$H$2:$H$500, 0)),"")</f>
        <v/>
      </c>
      <c r="C109" t="str">
        <f>IFERROR(INDEX(Menu!$B$2:$B$500, MATCH(108, Menu!$I$2:$I$500, 0)),"")</f>
        <v/>
      </c>
      <c r="D109" t="str">
        <f>IFERROR(INDEX(Menu!$B$2:$B$500, MATCH(108, Menu!$J$2:$J$500, 0)),"")</f>
        <v/>
      </c>
      <c r="E109" t="str">
        <f>IFERROR(INDEX(Menu!$B$2:$B$500, MATCH(108, Menu!$K$2:$K$500, 0)),"")</f>
        <v/>
      </c>
      <c r="F109" t="str">
        <f>IFERROR(INDEX(Menu!$B$2:$B$500, MATCH(108, Menu!$L$2:$L$500, 0)),"")</f>
        <v/>
      </c>
    </row>
    <row r="110" spans="1:6">
      <c r="A110" t="str">
        <f>IFERROR(INDEX(Menu!$B$2:$B$500, MATCH(109, Menu!$G$2:$G$500, 0)),"")</f>
        <v/>
      </c>
      <c r="B110" t="str">
        <f>IFERROR(INDEX(Menu!$B$2:$B$500, MATCH(109, Menu!$H$2:$H$500, 0)),"")</f>
        <v/>
      </c>
      <c r="C110" t="str">
        <f>IFERROR(INDEX(Menu!$B$2:$B$500, MATCH(109, Menu!$I$2:$I$500, 0)),"")</f>
        <v/>
      </c>
      <c r="D110" t="str">
        <f>IFERROR(INDEX(Menu!$B$2:$B$500, MATCH(109, Menu!$J$2:$J$500, 0)),"")</f>
        <v/>
      </c>
      <c r="E110" t="str">
        <f>IFERROR(INDEX(Menu!$B$2:$B$500, MATCH(109, Menu!$K$2:$K$500, 0)),"")</f>
        <v/>
      </c>
      <c r="F110" t="str">
        <f>IFERROR(INDEX(Menu!$B$2:$B$500, MATCH(109, Menu!$L$2:$L$500, 0)),"")</f>
        <v/>
      </c>
    </row>
    <row r="111" spans="1:6">
      <c r="A111" t="str">
        <f>IFERROR(INDEX(Menu!$B$2:$B$500, MATCH(110, Menu!$G$2:$G$500, 0)),"")</f>
        <v/>
      </c>
      <c r="B111" t="str">
        <f>IFERROR(INDEX(Menu!$B$2:$B$500, MATCH(110, Menu!$H$2:$H$500, 0)),"")</f>
        <v/>
      </c>
      <c r="C111" t="str">
        <f>IFERROR(INDEX(Menu!$B$2:$B$500, MATCH(110, Menu!$I$2:$I$500, 0)),"")</f>
        <v/>
      </c>
      <c r="D111" t="str">
        <f>IFERROR(INDEX(Menu!$B$2:$B$500, MATCH(110, Menu!$J$2:$J$500, 0)),"")</f>
        <v/>
      </c>
      <c r="E111" t="str">
        <f>IFERROR(INDEX(Menu!$B$2:$B$500, MATCH(110, Menu!$K$2:$K$500, 0)),"")</f>
        <v/>
      </c>
      <c r="F111" t="str">
        <f>IFERROR(INDEX(Menu!$B$2:$B$500, MATCH(110, Menu!$L$2:$L$500, 0)),"")</f>
        <v/>
      </c>
    </row>
    <row r="112" spans="1:6">
      <c r="A112" t="str">
        <f>IFERROR(INDEX(Menu!$B$2:$B$500, MATCH(111, Menu!$G$2:$G$500, 0)),"")</f>
        <v/>
      </c>
      <c r="B112" t="str">
        <f>IFERROR(INDEX(Menu!$B$2:$B$500, MATCH(111, Menu!$H$2:$H$500, 0)),"")</f>
        <v/>
      </c>
      <c r="C112" t="str">
        <f>IFERROR(INDEX(Menu!$B$2:$B$500, MATCH(111, Menu!$I$2:$I$500, 0)),"")</f>
        <v/>
      </c>
      <c r="D112" t="str">
        <f>IFERROR(INDEX(Menu!$B$2:$B$500, MATCH(111, Menu!$J$2:$J$500, 0)),"")</f>
        <v/>
      </c>
      <c r="E112" t="str">
        <f>IFERROR(INDEX(Menu!$B$2:$B$500, MATCH(111, Menu!$K$2:$K$500, 0)),"")</f>
        <v/>
      </c>
      <c r="F112" t="str">
        <f>IFERROR(INDEX(Menu!$B$2:$B$500, MATCH(111, Menu!$L$2:$L$500, 0)),"")</f>
        <v/>
      </c>
    </row>
    <row r="113" spans="1:6">
      <c r="A113" t="str">
        <f>IFERROR(INDEX(Menu!$B$2:$B$500, MATCH(112, Menu!$G$2:$G$500, 0)),"")</f>
        <v/>
      </c>
      <c r="B113" t="str">
        <f>IFERROR(INDEX(Menu!$B$2:$B$500, MATCH(112, Menu!$H$2:$H$500, 0)),"")</f>
        <v/>
      </c>
      <c r="C113" t="str">
        <f>IFERROR(INDEX(Menu!$B$2:$B$500, MATCH(112, Menu!$I$2:$I$500, 0)),"")</f>
        <v/>
      </c>
      <c r="D113" t="str">
        <f>IFERROR(INDEX(Menu!$B$2:$B$500, MATCH(112, Menu!$J$2:$J$500, 0)),"")</f>
        <v/>
      </c>
      <c r="E113" t="str">
        <f>IFERROR(INDEX(Menu!$B$2:$B$500, MATCH(112, Menu!$K$2:$K$500, 0)),"")</f>
        <v/>
      </c>
      <c r="F113" t="str">
        <f>IFERROR(INDEX(Menu!$B$2:$B$500, MATCH(112, Menu!$L$2:$L$500, 0)),"")</f>
        <v/>
      </c>
    </row>
    <row r="114" spans="1:6">
      <c r="A114" t="str">
        <f>IFERROR(INDEX(Menu!$B$2:$B$500, MATCH(113, Menu!$G$2:$G$500, 0)),"")</f>
        <v/>
      </c>
      <c r="B114" t="str">
        <f>IFERROR(INDEX(Menu!$B$2:$B$500, MATCH(113, Menu!$H$2:$H$500, 0)),"")</f>
        <v/>
      </c>
      <c r="C114" t="str">
        <f>IFERROR(INDEX(Menu!$B$2:$B$500, MATCH(113, Menu!$I$2:$I$500, 0)),"")</f>
        <v/>
      </c>
      <c r="D114" t="str">
        <f>IFERROR(INDEX(Menu!$B$2:$B$500, MATCH(113, Menu!$J$2:$J$500, 0)),"")</f>
        <v/>
      </c>
      <c r="E114" t="str">
        <f>IFERROR(INDEX(Menu!$B$2:$B$500, MATCH(113, Menu!$K$2:$K$500, 0)),"")</f>
        <v/>
      </c>
      <c r="F114" t="str">
        <f>IFERROR(INDEX(Menu!$B$2:$B$500, MATCH(113, Menu!$L$2:$L$500, 0)),"")</f>
        <v/>
      </c>
    </row>
    <row r="115" spans="1:6">
      <c r="A115" t="str">
        <f>IFERROR(INDEX(Menu!$B$2:$B$500, MATCH(114, Menu!$G$2:$G$500, 0)),"")</f>
        <v/>
      </c>
      <c r="B115" t="str">
        <f>IFERROR(INDEX(Menu!$B$2:$B$500, MATCH(114, Menu!$H$2:$H$500, 0)),"")</f>
        <v/>
      </c>
      <c r="C115" t="str">
        <f>IFERROR(INDEX(Menu!$B$2:$B$500, MATCH(114, Menu!$I$2:$I$500, 0)),"")</f>
        <v/>
      </c>
      <c r="D115" t="str">
        <f>IFERROR(INDEX(Menu!$B$2:$B$500, MATCH(114, Menu!$J$2:$J$500, 0)),"")</f>
        <v/>
      </c>
      <c r="E115" t="str">
        <f>IFERROR(INDEX(Menu!$B$2:$B$500, MATCH(114, Menu!$K$2:$K$500, 0)),"")</f>
        <v/>
      </c>
      <c r="F115" t="str">
        <f>IFERROR(INDEX(Menu!$B$2:$B$500, MATCH(114, Menu!$L$2:$L$500, 0)),"")</f>
        <v/>
      </c>
    </row>
    <row r="116" spans="1:6">
      <c r="A116" t="str">
        <f>IFERROR(INDEX(Menu!$B$2:$B$500, MATCH(115, Menu!$G$2:$G$500, 0)),"")</f>
        <v/>
      </c>
      <c r="B116" t="str">
        <f>IFERROR(INDEX(Menu!$B$2:$B$500, MATCH(115, Menu!$H$2:$H$500, 0)),"")</f>
        <v/>
      </c>
      <c r="C116" t="str">
        <f>IFERROR(INDEX(Menu!$B$2:$B$500, MATCH(115, Menu!$I$2:$I$500, 0)),"")</f>
        <v/>
      </c>
      <c r="D116" t="str">
        <f>IFERROR(INDEX(Menu!$B$2:$B$500, MATCH(115, Menu!$J$2:$J$500, 0)),"")</f>
        <v/>
      </c>
      <c r="E116" t="str">
        <f>IFERROR(INDEX(Menu!$B$2:$B$500, MATCH(115, Menu!$K$2:$K$500, 0)),"")</f>
        <v/>
      </c>
      <c r="F116" t="str">
        <f>IFERROR(INDEX(Menu!$B$2:$B$500, MATCH(115, Menu!$L$2:$L$500, 0)),"")</f>
        <v/>
      </c>
    </row>
    <row r="117" spans="1:6">
      <c r="A117" t="str">
        <f>IFERROR(INDEX(Menu!$B$2:$B$500, MATCH(116, Menu!$G$2:$G$500, 0)),"")</f>
        <v/>
      </c>
      <c r="B117" t="str">
        <f>IFERROR(INDEX(Menu!$B$2:$B$500, MATCH(116, Menu!$H$2:$H$500, 0)),"")</f>
        <v/>
      </c>
      <c r="C117" t="str">
        <f>IFERROR(INDEX(Menu!$B$2:$B$500, MATCH(116, Menu!$I$2:$I$500, 0)),"")</f>
        <v/>
      </c>
      <c r="D117" t="str">
        <f>IFERROR(INDEX(Menu!$B$2:$B$500, MATCH(116, Menu!$J$2:$J$500, 0)),"")</f>
        <v/>
      </c>
      <c r="E117" t="str">
        <f>IFERROR(INDEX(Menu!$B$2:$B$500, MATCH(116, Menu!$K$2:$K$500, 0)),"")</f>
        <v/>
      </c>
      <c r="F117" t="str">
        <f>IFERROR(INDEX(Menu!$B$2:$B$500, MATCH(116, Menu!$L$2:$L$500, 0)),"")</f>
        <v/>
      </c>
    </row>
    <row r="118" spans="1:6">
      <c r="A118" t="str">
        <f>IFERROR(INDEX(Menu!$B$2:$B$500, MATCH(117, Menu!$G$2:$G$500, 0)),"")</f>
        <v/>
      </c>
      <c r="B118" t="str">
        <f>IFERROR(INDEX(Menu!$B$2:$B$500, MATCH(117, Menu!$H$2:$H$500, 0)),"")</f>
        <v/>
      </c>
      <c r="C118" t="str">
        <f>IFERROR(INDEX(Menu!$B$2:$B$500, MATCH(117, Menu!$I$2:$I$500, 0)),"")</f>
        <v/>
      </c>
      <c r="D118" t="str">
        <f>IFERROR(INDEX(Menu!$B$2:$B$500, MATCH(117, Menu!$J$2:$J$500, 0)),"")</f>
        <v/>
      </c>
      <c r="E118" t="str">
        <f>IFERROR(INDEX(Menu!$B$2:$B$500, MATCH(117, Menu!$K$2:$K$500, 0)),"")</f>
        <v/>
      </c>
      <c r="F118" t="str">
        <f>IFERROR(INDEX(Menu!$B$2:$B$500, MATCH(117, Menu!$L$2:$L$500, 0)),"")</f>
        <v/>
      </c>
    </row>
    <row r="119" spans="1:6">
      <c r="A119" t="str">
        <f>IFERROR(INDEX(Menu!$B$2:$B$500, MATCH(118, Menu!$G$2:$G$500, 0)),"")</f>
        <v/>
      </c>
      <c r="B119" t="str">
        <f>IFERROR(INDEX(Menu!$B$2:$B$500, MATCH(118, Menu!$H$2:$H$500, 0)),"")</f>
        <v/>
      </c>
      <c r="C119" t="str">
        <f>IFERROR(INDEX(Menu!$B$2:$B$500, MATCH(118, Menu!$I$2:$I$500, 0)),"")</f>
        <v/>
      </c>
      <c r="D119" t="str">
        <f>IFERROR(INDEX(Menu!$B$2:$B$500, MATCH(118, Menu!$J$2:$J$500, 0)),"")</f>
        <v/>
      </c>
      <c r="E119" t="str">
        <f>IFERROR(INDEX(Menu!$B$2:$B$500, MATCH(118, Menu!$K$2:$K$500, 0)),"")</f>
        <v/>
      </c>
      <c r="F119" t="str">
        <f>IFERROR(INDEX(Menu!$B$2:$B$500, MATCH(118, Menu!$L$2:$L$500, 0)),"")</f>
        <v/>
      </c>
    </row>
    <row r="120" spans="1:6">
      <c r="A120" t="str">
        <f>IFERROR(INDEX(Menu!$B$2:$B$500, MATCH(119, Menu!$G$2:$G$500, 0)),"")</f>
        <v/>
      </c>
      <c r="B120" t="str">
        <f>IFERROR(INDEX(Menu!$B$2:$B$500, MATCH(119, Menu!$H$2:$H$500, 0)),"")</f>
        <v/>
      </c>
      <c r="C120" t="str">
        <f>IFERROR(INDEX(Menu!$B$2:$B$500, MATCH(119, Menu!$I$2:$I$500, 0)),"")</f>
        <v/>
      </c>
      <c r="D120" t="str">
        <f>IFERROR(INDEX(Menu!$B$2:$B$500, MATCH(119, Menu!$J$2:$J$500, 0)),"")</f>
        <v/>
      </c>
      <c r="E120" t="str">
        <f>IFERROR(INDEX(Menu!$B$2:$B$500, MATCH(119, Menu!$K$2:$K$500, 0)),"")</f>
        <v/>
      </c>
      <c r="F120" t="str">
        <f>IFERROR(INDEX(Menu!$B$2:$B$500, MATCH(119, Menu!$L$2:$L$500, 0)),"")</f>
        <v/>
      </c>
    </row>
    <row r="121" spans="1:6">
      <c r="A121" t="str">
        <f>IFERROR(INDEX(Menu!$B$2:$B$500, MATCH(120, Menu!$G$2:$G$500, 0)),"")</f>
        <v/>
      </c>
      <c r="B121" t="str">
        <f>IFERROR(INDEX(Menu!$B$2:$B$500, MATCH(120, Menu!$H$2:$H$500, 0)),"")</f>
        <v/>
      </c>
      <c r="C121" t="str">
        <f>IFERROR(INDEX(Menu!$B$2:$B$500, MATCH(120, Menu!$I$2:$I$500, 0)),"")</f>
        <v/>
      </c>
      <c r="D121" t="str">
        <f>IFERROR(INDEX(Menu!$B$2:$B$500, MATCH(120, Menu!$J$2:$J$500, 0)),"")</f>
        <v/>
      </c>
      <c r="E121" t="str">
        <f>IFERROR(INDEX(Menu!$B$2:$B$500, MATCH(120, Menu!$K$2:$K$500, 0)),"")</f>
        <v/>
      </c>
      <c r="F121" t="str">
        <f>IFERROR(INDEX(Menu!$B$2:$B$500, MATCH(120, Menu!$L$2:$L$500, 0)),"")</f>
        <v/>
      </c>
    </row>
    <row r="122" spans="1:6">
      <c r="A122" t="str">
        <f>IFERROR(INDEX(Menu!$B$2:$B$500, MATCH(121, Menu!$G$2:$G$500, 0)),"")</f>
        <v/>
      </c>
      <c r="B122" t="str">
        <f>IFERROR(INDEX(Menu!$B$2:$B$500, MATCH(121, Menu!$H$2:$H$500, 0)),"")</f>
        <v/>
      </c>
      <c r="C122" t="str">
        <f>IFERROR(INDEX(Menu!$B$2:$B$500, MATCH(121, Menu!$I$2:$I$500, 0)),"")</f>
        <v/>
      </c>
      <c r="D122" t="str">
        <f>IFERROR(INDEX(Menu!$B$2:$B$500, MATCH(121, Menu!$J$2:$J$500, 0)),"")</f>
        <v/>
      </c>
      <c r="E122" t="str">
        <f>IFERROR(INDEX(Menu!$B$2:$B$500, MATCH(121, Menu!$K$2:$K$500, 0)),"")</f>
        <v/>
      </c>
      <c r="F122" t="str">
        <f>IFERROR(INDEX(Menu!$B$2:$B$500, MATCH(121, Menu!$L$2:$L$500, 0)),"")</f>
        <v/>
      </c>
    </row>
    <row r="123" spans="1:6">
      <c r="A123" t="str">
        <f>IFERROR(INDEX(Menu!$B$2:$B$500, MATCH(122, Menu!$G$2:$G$500, 0)),"")</f>
        <v/>
      </c>
      <c r="B123" t="str">
        <f>IFERROR(INDEX(Menu!$B$2:$B$500, MATCH(122, Menu!$H$2:$H$500, 0)),"")</f>
        <v/>
      </c>
      <c r="C123" t="str">
        <f>IFERROR(INDEX(Menu!$B$2:$B$500, MATCH(122, Menu!$I$2:$I$500, 0)),"")</f>
        <v/>
      </c>
      <c r="D123" t="str">
        <f>IFERROR(INDEX(Menu!$B$2:$B$500, MATCH(122, Menu!$J$2:$J$500, 0)),"")</f>
        <v/>
      </c>
      <c r="E123" t="str">
        <f>IFERROR(INDEX(Menu!$B$2:$B$500, MATCH(122, Menu!$K$2:$K$500, 0)),"")</f>
        <v/>
      </c>
      <c r="F123" t="str">
        <f>IFERROR(INDEX(Menu!$B$2:$B$500, MATCH(122, Menu!$L$2:$L$500, 0)),"")</f>
        <v/>
      </c>
    </row>
    <row r="124" spans="1:6">
      <c r="A124" t="str">
        <f>IFERROR(INDEX(Menu!$B$2:$B$500, MATCH(123, Menu!$G$2:$G$500, 0)),"")</f>
        <v/>
      </c>
      <c r="B124" t="str">
        <f>IFERROR(INDEX(Menu!$B$2:$B$500, MATCH(123, Menu!$H$2:$H$500, 0)),"")</f>
        <v/>
      </c>
      <c r="C124" t="str">
        <f>IFERROR(INDEX(Menu!$B$2:$B$500, MATCH(123, Menu!$I$2:$I$500, 0)),"")</f>
        <v/>
      </c>
      <c r="D124" t="str">
        <f>IFERROR(INDEX(Menu!$B$2:$B$500, MATCH(123, Menu!$J$2:$J$500, 0)),"")</f>
        <v/>
      </c>
      <c r="E124" t="str">
        <f>IFERROR(INDEX(Menu!$B$2:$B$500, MATCH(123, Menu!$K$2:$K$500, 0)),"")</f>
        <v/>
      </c>
      <c r="F124" t="str">
        <f>IFERROR(INDEX(Menu!$B$2:$B$500, MATCH(123, Menu!$L$2:$L$500, 0)),"")</f>
        <v/>
      </c>
    </row>
    <row r="125" spans="1:6">
      <c r="A125" t="str">
        <f>IFERROR(INDEX(Menu!$B$2:$B$500, MATCH(124, Menu!$G$2:$G$500, 0)),"")</f>
        <v/>
      </c>
      <c r="B125" t="str">
        <f>IFERROR(INDEX(Menu!$B$2:$B$500, MATCH(124, Menu!$H$2:$H$500, 0)),"")</f>
        <v/>
      </c>
      <c r="C125" t="str">
        <f>IFERROR(INDEX(Menu!$B$2:$B$500, MATCH(124, Menu!$I$2:$I$500, 0)),"")</f>
        <v/>
      </c>
      <c r="D125" t="str">
        <f>IFERROR(INDEX(Menu!$B$2:$B$500, MATCH(124, Menu!$J$2:$J$500, 0)),"")</f>
        <v/>
      </c>
      <c r="E125" t="str">
        <f>IFERROR(INDEX(Menu!$B$2:$B$500, MATCH(124, Menu!$K$2:$K$500, 0)),"")</f>
        <v/>
      </c>
      <c r="F125" t="str">
        <f>IFERROR(INDEX(Menu!$B$2:$B$500, MATCH(124, Menu!$L$2:$L$500, 0)),"")</f>
        <v/>
      </c>
    </row>
    <row r="126" spans="1:6">
      <c r="A126" t="str">
        <f>IFERROR(INDEX(Menu!$B$2:$B$500, MATCH(125, Menu!$G$2:$G$500, 0)),"")</f>
        <v/>
      </c>
      <c r="B126" t="str">
        <f>IFERROR(INDEX(Menu!$B$2:$B$500, MATCH(125, Menu!$H$2:$H$500, 0)),"")</f>
        <v/>
      </c>
      <c r="C126" t="str">
        <f>IFERROR(INDEX(Menu!$B$2:$B$500, MATCH(125, Menu!$I$2:$I$500, 0)),"")</f>
        <v/>
      </c>
      <c r="D126" t="str">
        <f>IFERROR(INDEX(Menu!$B$2:$B$500, MATCH(125, Menu!$J$2:$J$500, 0)),"")</f>
        <v/>
      </c>
      <c r="E126" t="str">
        <f>IFERROR(INDEX(Menu!$B$2:$B$500, MATCH(125, Menu!$K$2:$K$500, 0)),"")</f>
        <v/>
      </c>
      <c r="F126" t="str">
        <f>IFERROR(INDEX(Menu!$B$2:$B$500, MATCH(125, Menu!$L$2:$L$500, 0)),"")</f>
        <v/>
      </c>
    </row>
    <row r="127" spans="1:6">
      <c r="A127" t="str">
        <f>IFERROR(INDEX(Menu!$B$2:$B$500, MATCH(126, Menu!$G$2:$G$500, 0)),"")</f>
        <v/>
      </c>
      <c r="B127" t="str">
        <f>IFERROR(INDEX(Menu!$B$2:$B$500, MATCH(126, Menu!$H$2:$H$500, 0)),"")</f>
        <v/>
      </c>
      <c r="C127" t="str">
        <f>IFERROR(INDEX(Menu!$B$2:$B$500, MATCH(126, Menu!$I$2:$I$500, 0)),"")</f>
        <v/>
      </c>
      <c r="D127" t="str">
        <f>IFERROR(INDEX(Menu!$B$2:$B$500, MATCH(126, Menu!$J$2:$J$500, 0)),"")</f>
        <v/>
      </c>
      <c r="E127" t="str">
        <f>IFERROR(INDEX(Menu!$B$2:$B$500, MATCH(126, Menu!$K$2:$K$500, 0)),"")</f>
        <v/>
      </c>
      <c r="F127" t="str">
        <f>IFERROR(INDEX(Menu!$B$2:$B$500, MATCH(126, Menu!$L$2:$L$500, 0)),"")</f>
        <v/>
      </c>
    </row>
    <row r="128" spans="1:6">
      <c r="A128" t="str">
        <f>IFERROR(INDEX(Menu!$B$2:$B$500, MATCH(127, Menu!$G$2:$G$500, 0)),"")</f>
        <v/>
      </c>
      <c r="B128" t="str">
        <f>IFERROR(INDEX(Menu!$B$2:$B$500, MATCH(127, Menu!$H$2:$H$500, 0)),"")</f>
        <v/>
      </c>
      <c r="C128" t="str">
        <f>IFERROR(INDEX(Menu!$B$2:$B$500, MATCH(127, Menu!$I$2:$I$500, 0)),"")</f>
        <v/>
      </c>
      <c r="D128" t="str">
        <f>IFERROR(INDEX(Menu!$B$2:$B$500, MATCH(127, Menu!$J$2:$J$500, 0)),"")</f>
        <v/>
      </c>
      <c r="E128" t="str">
        <f>IFERROR(INDEX(Menu!$B$2:$B$500, MATCH(127, Menu!$K$2:$K$500, 0)),"")</f>
        <v/>
      </c>
      <c r="F128" t="str">
        <f>IFERROR(INDEX(Menu!$B$2:$B$500, MATCH(127, Menu!$L$2:$L$500, 0)),"")</f>
        <v/>
      </c>
    </row>
    <row r="129" spans="1:6">
      <c r="A129" t="str">
        <f>IFERROR(INDEX(Menu!$B$2:$B$500, MATCH(128, Menu!$G$2:$G$500, 0)),"")</f>
        <v/>
      </c>
      <c r="B129" t="str">
        <f>IFERROR(INDEX(Menu!$B$2:$B$500, MATCH(128, Menu!$H$2:$H$500, 0)),"")</f>
        <v/>
      </c>
      <c r="C129" t="str">
        <f>IFERROR(INDEX(Menu!$B$2:$B$500, MATCH(128, Menu!$I$2:$I$500, 0)),"")</f>
        <v/>
      </c>
      <c r="D129" t="str">
        <f>IFERROR(INDEX(Menu!$B$2:$B$500, MATCH(128, Menu!$J$2:$J$500, 0)),"")</f>
        <v/>
      </c>
      <c r="E129" t="str">
        <f>IFERROR(INDEX(Menu!$B$2:$B$500, MATCH(128, Menu!$K$2:$K$500, 0)),"")</f>
        <v/>
      </c>
      <c r="F129" t="str">
        <f>IFERROR(INDEX(Menu!$B$2:$B$500, MATCH(128, Menu!$L$2:$L$500, 0)),"")</f>
        <v/>
      </c>
    </row>
    <row r="130" spans="1:6">
      <c r="A130" t="str">
        <f>IFERROR(INDEX(Menu!$B$2:$B$500, MATCH(129, Menu!$G$2:$G$500, 0)),"")</f>
        <v/>
      </c>
      <c r="B130" t="str">
        <f>IFERROR(INDEX(Menu!$B$2:$B$500, MATCH(129, Menu!$H$2:$H$500, 0)),"")</f>
        <v/>
      </c>
      <c r="C130" t="str">
        <f>IFERROR(INDEX(Menu!$B$2:$B$500, MATCH(129, Menu!$I$2:$I$500, 0)),"")</f>
        <v/>
      </c>
      <c r="D130" t="str">
        <f>IFERROR(INDEX(Menu!$B$2:$B$500, MATCH(129, Menu!$J$2:$J$500, 0)),"")</f>
        <v/>
      </c>
      <c r="E130" t="str">
        <f>IFERROR(INDEX(Menu!$B$2:$B$500, MATCH(129, Menu!$K$2:$K$500, 0)),"")</f>
        <v/>
      </c>
      <c r="F130" t="str">
        <f>IFERROR(INDEX(Menu!$B$2:$B$500, MATCH(129, Menu!$L$2:$L$500, 0)),"")</f>
        <v/>
      </c>
    </row>
    <row r="131" spans="1:6">
      <c r="A131" t="str">
        <f>IFERROR(INDEX(Menu!$B$2:$B$500, MATCH(130, Menu!$G$2:$G$500, 0)),"")</f>
        <v/>
      </c>
      <c r="B131" t="str">
        <f>IFERROR(INDEX(Menu!$B$2:$B$500, MATCH(130, Menu!$H$2:$H$500, 0)),"")</f>
        <v/>
      </c>
      <c r="C131" t="str">
        <f>IFERROR(INDEX(Menu!$B$2:$B$500, MATCH(130, Menu!$I$2:$I$500, 0)),"")</f>
        <v/>
      </c>
      <c r="D131" t="str">
        <f>IFERROR(INDEX(Menu!$B$2:$B$500, MATCH(130, Menu!$J$2:$J$500, 0)),"")</f>
        <v/>
      </c>
      <c r="E131" t="str">
        <f>IFERROR(INDEX(Menu!$B$2:$B$500, MATCH(130, Menu!$K$2:$K$500, 0)),"")</f>
        <v/>
      </c>
      <c r="F131" t="str">
        <f>IFERROR(INDEX(Menu!$B$2:$B$500, MATCH(130, Menu!$L$2:$L$500, 0)),"")</f>
        <v/>
      </c>
    </row>
    <row r="132" spans="1:6">
      <c r="A132" t="str">
        <f>IFERROR(INDEX(Menu!$B$2:$B$500, MATCH(131, Menu!$G$2:$G$500, 0)),"")</f>
        <v/>
      </c>
      <c r="B132" t="str">
        <f>IFERROR(INDEX(Menu!$B$2:$B$500, MATCH(131, Menu!$H$2:$H$500, 0)),"")</f>
        <v/>
      </c>
      <c r="C132" t="str">
        <f>IFERROR(INDEX(Menu!$B$2:$B$500, MATCH(131, Menu!$I$2:$I$500, 0)),"")</f>
        <v/>
      </c>
      <c r="D132" t="str">
        <f>IFERROR(INDEX(Menu!$B$2:$B$500, MATCH(131, Menu!$J$2:$J$500, 0)),"")</f>
        <v/>
      </c>
      <c r="E132" t="str">
        <f>IFERROR(INDEX(Menu!$B$2:$B$500, MATCH(131, Menu!$K$2:$K$500, 0)),"")</f>
        <v/>
      </c>
      <c r="F132" t="str">
        <f>IFERROR(INDEX(Menu!$B$2:$B$500, MATCH(131, Menu!$L$2:$L$500, 0)),"")</f>
        <v/>
      </c>
    </row>
    <row r="133" spans="1:6">
      <c r="A133" t="str">
        <f>IFERROR(INDEX(Menu!$B$2:$B$500, MATCH(132, Menu!$G$2:$G$500, 0)),"")</f>
        <v/>
      </c>
      <c r="B133" t="str">
        <f>IFERROR(INDEX(Menu!$B$2:$B$500, MATCH(132, Menu!$H$2:$H$500, 0)),"")</f>
        <v/>
      </c>
      <c r="C133" t="str">
        <f>IFERROR(INDEX(Menu!$B$2:$B$500, MATCH(132, Menu!$I$2:$I$500, 0)),"")</f>
        <v/>
      </c>
      <c r="D133" t="str">
        <f>IFERROR(INDEX(Menu!$B$2:$B$500, MATCH(132, Menu!$J$2:$J$500, 0)),"")</f>
        <v/>
      </c>
      <c r="E133" t="str">
        <f>IFERROR(INDEX(Menu!$B$2:$B$500, MATCH(132, Menu!$K$2:$K$500, 0)),"")</f>
        <v/>
      </c>
      <c r="F133" t="str">
        <f>IFERROR(INDEX(Menu!$B$2:$B$500, MATCH(132, Menu!$L$2:$L$500, 0)),"")</f>
        <v/>
      </c>
    </row>
    <row r="134" spans="1:6">
      <c r="A134" t="str">
        <f>IFERROR(INDEX(Menu!$B$2:$B$500, MATCH(133, Menu!$G$2:$G$500, 0)),"")</f>
        <v/>
      </c>
      <c r="B134" t="str">
        <f>IFERROR(INDEX(Menu!$B$2:$B$500, MATCH(133, Menu!$H$2:$H$500, 0)),"")</f>
        <v/>
      </c>
      <c r="C134" t="str">
        <f>IFERROR(INDEX(Menu!$B$2:$B$500, MATCH(133, Menu!$I$2:$I$500, 0)),"")</f>
        <v/>
      </c>
      <c r="D134" t="str">
        <f>IFERROR(INDEX(Menu!$B$2:$B$500, MATCH(133, Menu!$J$2:$J$500, 0)),"")</f>
        <v/>
      </c>
      <c r="E134" t="str">
        <f>IFERROR(INDEX(Menu!$B$2:$B$500, MATCH(133, Menu!$K$2:$K$500, 0)),"")</f>
        <v/>
      </c>
      <c r="F134" t="str">
        <f>IFERROR(INDEX(Menu!$B$2:$B$500, MATCH(133, Menu!$L$2:$L$500, 0)),"")</f>
        <v/>
      </c>
    </row>
    <row r="135" spans="1:6">
      <c r="A135" t="str">
        <f>IFERROR(INDEX(Menu!$B$2:$B$500, MATCH(134, Menu!$G$2:$G$500, 0)),"")</f>
        <v/>
      </c>
      <c r="B135" t="str">
        <f>IFERROR(INDEX(Menu!$B$2:$B$500, MATCH(134, Menu!$H$2:$H$500, 0)),"")</f>
        <v/>
      </c>
      <c r="C135" t="str">
        <f>IFERROR(INDEX(Menu!$B$2:$B$500, MATCH(134, Menu!$I$2:$I$500, 0)),"")</f>
        <v/>
      </c>
      <c r="D135" t="str">
        <f>IFERROR(INDEX(Menu!$B$2:$B$500, MATCH(134, Menu!$J$2:$J$500, 0)),"")</f>
        <v/>
      </c>
      <c r="E135" t="str">
        <f>IFERROR(INDEX(Menu!$B$2:$B$500, MATCH(134, Menu!$K$2:$K$500, 0)),"")</f>
        <v/>
      </c>
      <c r="F135" t="str">
        <f>IFERROR(INDEX(Menu!$B$2:$B$500, MATCH(134, Menu!$L$2:$L$500, 0)),"")</f>
        <v/>
      </c>
    </row>
    <row r="136" spans="1:6">
      <c r="A136" t="str">
        <f>IFERROR(INDEX(Menu!$B$2:$B$500, MATCH(135, Menu!$G$2:$G$500, 0)),"")</f>
        <v/>
      </c>
      <c r="B136" t="str">
        <f>IFERROR(INDEX(Menu!$B$2:$B$500, MATCH(135, Menu!$H$2:$H$500, 0)),"")</f>
        <v/>
      </c>
      <c r="C136" t="str">
        <f>IFERROR(INDEX(Menu!$B$2:$B$500, MATCH(135, Menu!$I$2:$I$500, 0)),"")</f>
        <v/>
      </c>
      <c r="D136" t="str">
        <f>IFERROR(INDEX(Menu!$B$2:$B$500, MATCH(135, Menu!$J$2:$J$500, 0)),"")</f>
        <v/>
      </c>
      <c r="E136" t="str">
        <f>IFERROR(INDEX(Menu!$B$2:$B$500, MATCH(135, Menu!$K$2:$K$500, 0)),"")</f>
        <v/>
      </c>
      <c r="F136" t="str">
        <f>IFERROR(INDEX(Menu!$B$2:$B$500, MATCH(135, Menu!$L$2:$L$500, 0)),"")</f>
        <v/>
      </c>
    </row>
    <row r="137" spans="1:6">
      <c r="A137" t="str">
        <f>IFERROR(INDEX(Menu!$B$2:$B$500, MATCH(136, Menu!$G$2:$G$500, 0)),"")</f>
        <v/>
      </c>
      <c r="B137" t="str">
        <f>IFERROR(INDEX(Menu!$B$2:$B$500, MATCH(136, Menu!$H$2:$H$500, 0)),"")</f>
        <v/>
      </c>
      <c r="C137" t="str">
        <f>IFERROR(INDEX(Menu!$B$2:$B$500, MATCH(136, Menu!$I$2:$I$500, 0)),"")</f>
        <v/>
      </c>
      <c r="D137" t="str">
        <f>IFERROR(INDEX(Menu!$B$2:$B$500, MATCH(136, Menu!$J$2:$J$500, 0)),"")</f>
        <v/>
      </c>
      <c r="E137" t="str">
        <f>IFERROR(INDEX(Menu!$B$2:$B$500, MATCH(136, Menu!$K$2:$K$500, 0)),"")</f>
        <v/>
      </c>
      <c r="F137" t="str">
        <f>IFERROR(INDEX(Menu!$B$2:$B$500, MATCH(136, Menu!$L$2:$L$500, 0)),"")</f>
        <v/>
      </c>
    </row>
    <row r="138" spans="1:6">
      <c r="A138" t="str">
        <f>IFERROR(INDEX(Menu!$B$2:$B$500, MATCH(137, Menu!$G$2:$G$500, 0)),"")</f>
        <v/>
      </c>
      <c r="B138" t="str">
        <f>IFERROR(INDEX(Menu!$B$2:$B$500, MATCH(137, Menu!$H$2:$H$500, 0)),"")</f>
        <v/>
      </c>
      <c r="C138" t="str">
        <f>IFERROR(INDEX(Menu!$B$2:$B$500, MATCH(137, Menu!$I$2:$I$500, 0)),"")</f>
        <v/>
      </c>
      <c r="D138" t="str">
        <f>IFERROR(INDEX(Menu!$B$2:$B$500, MATCH(137, Menu!$J$2:$J$500, 0)),"")</f>
        <v/>
      </c>
      <c r="E138" t="str">
        <f>IFERROR(INDEX(Menu!$B$2:$B$500, MATCH(137, Menu!$K$2:$K$500, 0)),"")</f>
        <v/>
      </c>
      <c r="F138" t="str">
        <f>IFERROR(INDEX(Menu!$B$2:$B$500, MATCH(137, Menu!$L$2:$L$500, 0)),"")</f>
        <v/>
      </c>
    </row>
    <row r="139" spans="1:6">
      <c r="A139" t="str">
        <f>IFERROR(INDEX(Menu!$B$2:$B$500, MATCH(138, Menu!$G$2:$G$500, 0)),"")</f>
        <v/>
      </c>
      <c r="B139" t="str">
        <f>IFERROR(INDEX(Menu!$B$2:$B$500, MATCH(138, Menu!$H$2:$H$500, 0)),"")</f>
        <v/>
      </c>
      <c r="C139" t="str">
        <f>IFERROR(INDEX(Menu!$B$2:$B$500, MATCH(138, Menu!$I$2:$I$500, 0)),"")</f>
        <v/>
      </c>
      <c r="D139" t="str">
        <f>IFERROR(INDEX(Menu!$B$2:$B$500, MATCH(138, Menu!$J$2:$J$500, 0)),"")</f>
        <v/>
      </c>
      <c r="E139" t="str">
        <f>IFERROR(INDEX(Menu!$B$2:$B$500, MATCH(138, Menu!$K$2:$K$500, 0)),"")</f>
        <v/>
      </c>
      <c r="F139" t="str">
        <f>IFERROR(INDEX(Menu!$B$2:$B$500, MATCH(138, Menu!$L$2:$L$500, 0)),"")</f>
        <v/>
      </c>
    </row>
    <row r="140" spans="1:6">
      <c r="A140" t="str">
        <f>IFERROR(INDEX(Menu!$B$2:$B$500, MATCH(139, Menu!$G$2:$G$500, 0)),"")</f>
        <v/>
      </c>
      <c r="B140" t="str">
        <f>IFERROR(INDEX(Menu!$B$2:$B$500, MATCH(139, Menu!$H$2:$H$500, 0)),"")</f>
        <v/>
      </c>
      <c r="C140" t="str">
        <f>IFERROR(INDEX(Menu!$B$2:$B$500, MATCH(139, Menu!$I$2:$I$500, 0)),"")</f>
        <v/>
      </c>
      <c r="D140" t="str">
        <f>IFERROR(INDEX(Menu!$B$2:$B$500, MATCH(139, Menu!$J$2:$J$500, 0)),"")</f>
        <v/>
      </c>
      <c r="E140" t="str">
        <f>IFERROR(INDEX(Menu!$B$2:$B$500, MATCH(139, Menu!$K$2:$K$500, 0)),"")</f>
        <v/>
      </c>
      <c r="F140" t="str">
        <f>IFERROR(INDEX(Menu!$B$2:$B$500, MATCH(139, Menu!$L$2:$L$500, 0)),"")</f>
        <v/>
      </c>
    </row>
    <row r="141" spans="1:6">
      <c r="A141" t="str">
        <f>IFERROR(INDEX(Menu!$B$2:$B$500, MATCH(140, Menu!$G$2:$G$500, 0)),"")</f>
        <v/>
      </c>
      <c r="B141" t="str">
        <f>IFERROR(INDEX(Menu!$B$2:$B$500, MATCH(140, Menu!$H$2:$H$500, 0)),"")</f>
        <v/>
      </c>
      <c r="C141" t="str">
        <f>IFERROR(INDEX(Menu!$B$2:$B$500, MATCH(140, Menu!$I$2:$I$500, 0)),"")</f>
        <v/>
      </c>
      <c r="D141" t="str">
        <f>IFERROR(INDEX(Menu!$B$2:$B$500, MATCH(140, Menu!$J$2:$J$500, 0)),"")</f>
        <v/>
      </c>
      <c r="E141" t="str">
        <f>IFERROR(INDEX(Menu!$B$2:$B$500, MATCH(140, Menu!$K$2:$K$500, 0)),"")</f>
        <v/>
      </c>
      <c r="F141" t="str">
        <f>IFERROR(INDEX(Menu!$B$2:$B$500, MATCH(140, Menu!$L$2:$L$500, 0)),"")</f>
        <v/>
      </c>
    </row>
    <row r="142" spans="1:6">
      <c r="A142" t="str">
        <f>IFERROR(INDEX(Menu!$B$2:$B$500, MATCH(141, Menu!$G$2:$G$500, 0)),"")</f>
        <v/>
      </c>
      <c r="B142" t="str">
        <f>IFERROR(INDEX(Menu!$B$2:$B$500, MATCH(141, Menu!$H$2:$H$500, 0)),"")</f>
        <v/>
      </c>
      <c r="C142" t="str">
        <f>IFERROR(INDEX(Menu!$B$2:$B$500, MATCH(141, Menu!$I$2:$I$500, 0)),"")</f>
        <v/>
      </c>
      <c r="D142" t="str">
        <f>IFERROR(INDEX(Menu!$B$2:$B$500, MATCH(141, Menu!$J$2:$J$500, 0)),"")</f>
        <v/>
      </c>
      <c r="E142" t="str">
        <f>IFERROR(INDEX(Menu!$B$2:$B$500, MATCH(141, Menu!$K$2:$K$500, 0)),"")</f>
        <v/>
      </c>
      <c r="F142" t="str">
        <f>IFERROR(INDEX(Menu!$B$2:$B$500, MATCH(141, Menu!$L$2:$L$500, 0)),"")</f>
        <v/>
      </c>
    </row>
    <row r="143" spans="1:6">
      <c r="A143" t="str">
        <f>IFERROR(INDEX(Menu!$B$2:$B$500, MATCH(142, Menu!$G$2:$G$500, 0)),"")</f>
        <v/>
      </c>
      <c r="B143" t="str">
        <f>IFERROR(INDEX(Menu!$B$2:$B$500, MATCH(142, Menu!$H$2:$H$500, 0)),"")</f>
        <v/>
      </c>
      <c r="C143" t="str">
        <f>IFERROR(INDEX(Menu!$B$2:$B$500, MATCH(142, Menu!$I$2:$I$500, 0)),"")</f>
        <v/>
      </c>
      <c r="D143" t="str">
        <f>IFERROR(INDEX(Menu!$B$2:$B$500, MATCH(142, Menu!$J$2:$J$500, 0)),"")</f>
        <v/>
      </c>
      <c r="E143" t="str">
        <f>IFERROR(INDEX(Menu!$B$2:$B$500, MATCH(142, Menu!$K$2:$K$500, 0)),"")</f>
        <v/>
      </c>
      <c r="F143" t="str">
        <f>IFERROR(INDEX(Menu!$B$2:$B$500, MATCH(142, Menu!$L$2:$L$500, 0)),"")</f>
        <v/>
      </c>
    </row>
    <row r="144" spans="1:6">
      <c r="A144" t="str">
        <f>IFERROR(INDEX(Menu!$B$2:$B$500, MATCH(143, Menu!$G$2:$G$500, 0)),"")</f>
        <v/>
      </c>
      <c r="B144" t="str">
        <f>IFERROR(INDEX(Menu!$B$2:$B$500, MATCH(143, Menu!$H$2:$H$500, 0)),"")</f>
        <v/>
      </c>
      <c r="C144" t="str">
        <f>IFERROR(INDEX(Menu!$B$2:$B$500, MATCH(143, Menu!$I$2:$I$500, 0)),"")</f>
        <v/>
      </c>
      <c r="D144" t="str">
        <f>IFERROR(INDEX(Menu!$B$2:$B$500, MATCH(143, Menu!$J$2:$J$500, 0)),"")</f>
        <v/>
      </c>
      <c r="E144" t="str">
        <f>IFERROR(INDEX(Menu!$B$2:$B$500, MATCH(143, Menu!$K$2:$K$500, 0)),"")</f>
        <v/>
      </c>
      <c r="F144" t="str">
        <f>IFERROR(INDEX(Menu!$B$2:$B$500, MATCH(143, Menu!$L$2:$L$500, 0)),"")</f>
        <v/>
      </c>
    </row>
    <row r="145" spans="1:6">
      <c r="A145" t="str">
        <f>IFERROR(INDEX(Menu!$B$2:$B$500, MATCH(144, Menu!$G$2:$G$500, 0)),"")</f>
        <v/>
      </c>
      <c r="B145" t="str">
        <f>IFERROR(INDEX(Menu!$B$2:$B$500, MATCH(144, Menu!$H$2:$H$500, 0)),"")</f>
        <v/>
      </c>
      <c r="C145" t="str">
        <f>IFERROR(INDEX(Menu!$B$2:$B$500, MATCH(144, Menu!$I$2:$I$500, 0)),"")</f>
        <v/>
      </c>
      <c r="D145" t="str">
        <f>IFERROR(INDEX(Menu!$B$2:$B$500, MATCH(144, Menu!$J$2:$J$500, 0)),"")</f>
        <v/>
      </c>
      <c r="E145" t="str">
        <f>IFERROR(INDEX(Menu!$B$2:$B$500, MATCH(144, Menu!$K$2:$K$500, 0)),"")</f>
        <v/>
      </c>
      <c r="F145" t="str">
        <f>IFERROR(INDEX(Menu!$B$2:$B$500, MATCH(144, Menu!$L$2:$L$500, 0)),"")</f>
        <v/>
      </c>
    </row>
    <row r="146" spans="1:6">
      <c r="A146" t="str">
        <f>IFERROR(INDEX(Menu!$B$2:$B$500, MATCH(145, Menu!$G$2:$G$500, 0)),"")</f>
        <v/>
      </c>
      <c r="B146" t="str">
        <f>IFERROR(INDEX(Menu!$B$2:$B$500, MATCH(145, Menu!$H$2:$H$500, 0)),"")</f>
        <v/>
      </c>
      <c r="C146" t="str">
        <f>IFERROR(INDEX(Menu!$B$2:$B$500, MATCH(145, Menu!$I$2:$I$500, 0)),"")</f>
        <v/>
      </c>
      <c r="D146" t="str">
        <f>IFERROR(INDEX(Menu!$B$2:$B$500, MATCH(145, Menu!$J$2:$J$500, 0)),"")</f>
        <v/>
      </c>
      <c r="E146" t="str">
        <f>IFERROR(INDEX(Menu!$B$2:$B$500, MATCH(145, Menu!$K$2:$K$500, 0)),"")</f>
        <v/>
      </c>
      <c r="F146" t="str">
        <f>IFERROR(INDEX(Menu!$B$2:$B$500, MATCH(145, Menu!$L$2:$L$500, 0)),"")</f>
        <v/>
      </c>
    </row>
    <row r="147" spans="1:6">
      <c r="A147" t="str">
        <f>IFERROR(INDEX(Menu!$B$2:$B$500, MATCH(146, Menu!$G$2:$G$500, 0)),"")</f>
        <v/>
      </c>
      <c r="B147" t="str">
        <f>IFERROR(INDEX(Menu!$B$2:$B$500, MATCH(146, Menu!$H$2:$H$500, 0)),"")</f>
        <v/>
      </c>
      <c r="C147" t="str">
        <f>IFERROR(INDEX(Menu!$B$2:$B$500, MATCH(146, Menu!$I$2:$I$500, 0)),"")</f>
        <v/>
      </c>
      <c r="D147" t="str">
        <f>IFERROR(INDEX(Menu!$B$2:$B$500, MATCH(146, Menu!$J$2:$J$500, 0)),"")</f>
        <v/>
      </c>
      <c r="E147" t="str">
        <f>IFERROR(INDEX(Menu!$B$2:$B$500, MATCH(146, Menu!$K$2:$K$500, 0)),"")</f>
        <v/>
      </c>
      <c r="F147" t="str">
        <f>IFERROR(INDEX(Menu!$B$2:$B$500, MATCH(146, Menu!$L$2:$L$500, 0)),"")</f>
        <v/>
      </c>
    </row>
    <row r="148" spans="1:6">
      <c r="A148" t="str">
        <f>IFERROR(INDEX(Menu!$B$2:$B$500, MATCH(147, Menu!$G$2:$G$500, 0)),"")</f>
        <v/>
      </c>
      <c r="B148" t="str">
        <f>IFERROR(INDEX(Menu!$B$2:$B$500, MATCH(147, Menu!$H$2:$H$500, 0)),"")</f>
        <v/>
      </c>
      <c r="C148" t="str">
        <f>IFERROR(INDEX(Menu!$B$2:$B$500, MATCH(147, Menu!$I$2:$I$500, 0)),"")</f>
        <v/>
      </c>
      <c r="D148" t="str">
        <f>IFERROR(INDEX(Menu!$B$2:$B$500, MATCH(147, Menu!$J$2:$J$500, 0)),"")</f>
        <v/>
      </c>
      <c r="E148" t="str">
        <f>IFERROR(INDEX(Menu!$B$2:$B$500, MATCH(147, Menu!$K$2:$K$500, 0)),"")</f>
        <v/>
      </c>
      <c r="F148" t="str">
        <f>IFERROR(INDEX(Menu!$B$2:$B$500, MATCH(147, Menu!$L$2:$L$500, 0)),"")</f>
        <v/>
      </c>
    </row>
    <row r="149" spans="1:6">
      <c r="A149" t="str">
        <f>IFERROR(INDEX(Menu!$B$2:$B$500, MATCH(148, Menu!$G$2:$G$500, 0)),"")</f>
        <v/>
      </c>
      <c r="B149" t="str">
        <f>IFERROR(INDEX(Menu!$B$2:$B$500, MATCH(148, Menu!$H$2:$H$500, 0)),"")</f>
        <v/>
      </c>
      <c r="C149" t="str">
        <f>IFERROR(INDEX(Menu!$B$2:$B$500, MATCH(148, Menu!$I$2:$I$500, 0)),"")</f>
        <v/>
      </c>
      <c r="D149" t="str">
        <f>IFERROR(INDEX(Menu!$B$2:$B$500, MATCH(148, Menu!$J$2:$J$500, 0)),"")</f>
        <v/>
      </c>
      <c r="E149" t="str">
        <f>IFERROR(INDEX(Menu!$B$2:$B$500, MATCH(148, Menu!$K$2:$K$500, 0)),"")</f>
        <v/>
      </c>
      <c r="F149" t="str">
        <f>IFERROR(INDEX(Menu!$B$2:$B$500, MATCH(148, Menu!$L$2:$L$500, 0)),"")</f>
        <v/>
      </c>
    </row>
    <row r="150" spans="1:6">
      <c r="A150" t="str">
        <f>IFERROR(INDEX(Menu!$B$2:$B$500, MATCH(149, Menu!$G$2:$G$500, 0)),"")</f>
        <v/>
      </c>
      <c r="B150" t="str">
        <f>IFERROR(INDEX(Menu!$B$2:$B$500, MATCH(149, Menu!$H$2:$H$500, 0)),"")</f>
        <v/>
      </c>
      <c r="C150" t="str">
        <f>IFERROR(INDEX(Menu!$B$2:$B$500, MATCH(149, Menu!$I$2:$I$500, 0)),"")</f>
        <v/>
      </c>
      <c r="D150" t="str">
        <f>IFERROR(INDEX(Menu!$B$2:$B$500, MATCH(149, Menu!$J$2:$J$500, 0)),"")</f>
        <v/>
      </c>
      <c r="E150" t="str">
        <f>IFERROR(INDEX(Menu!$B$2:$B$500, MATCH(149, Menu!$K$2:$K$500, 0)),"")</f>
        <v/>
      </c>
      <c r="F150" t="str">
        <f>IFERROR(INDEX(Menu!$B$2:$B$500, MATCH(149, Menu!$L$2:$L$500, 0)),"")</f>
        <v/>
      </c>
    </row>
    <row r="151" spans="1:6">
      <c r="A151" t="str">
        <f>IFERROR(INDEX(Menu!$B$2:$B$500, MATCH(150, Menu!$G$2:$G$500, 0)),"")</f>
        <v/>
      </c>
      <c r="B151" t="str">
        <f>IFERROR(INDEX(Menu!$B$2:$B$500, MATCH(150, Menu!$H$2:$H$500, 0)),"")</f>
        <v/>
      </c>
      <c r="C151" t="str">
        <f>IFERROR(INDEX(Menu!$B$2:$B$500, MATCH(150, Menu!$I$2:$I$500, 0)),"")</f>
        <v/>
      </c>
      <c r="D151" t="str">
        <f>IFERROR(INDEX(Menu!$B$2:$B$500, MATCH(150, Menu!$J$2:$J$500, 0)),"")</f>
        <v/>
      </c>
      <c r="E151" t="str">
        <f>IFERROR(INDEX(Menu!$B$2:$B$500, MATCH(150, Menu!$K$2:$K$500, 0)),"")</f>
        <v/>
      </c>
      <c r="F151" t="str">
        <f>IFERROR(INDEX(Menu!$B$2:$B$500, MATCH(150, Menu!$L$2:$L$500, 0)),"")</f>
        <v/>
      </c>
    </row>
    <row r="152" spans="1:6">
      <c r="A152" t="str">
        <f>IFERROR(INDEX(Menu!$B$2:$B$500, MATCH(151, Menu!$G$2:$G$500, 0)),"")</f>
        <v/>
      </c>
      <c r="B152" t="str">
        <f>IFERROR(INDEX(Menu!$B$2:$B$500, MATCH(151, Menu!$H$2:$H$500, 0)),"")</f>
        <v/>
      </c>
      <c r="C152" t="str">
        <f>IFERROR(INDEX(Menu!$B$2:$B$500, MATCH(151, Menu!$I$2:$I$500, 0)),"")</f>
        <v/>
      </c>
      <c r="D152" t="str">
        <f>IFERROR(INDEX(Menu!$B$2:$B$500, MATCH(151, Menu!$J$2:$J$500, 0)),"")</f>
        <v/>
      </c>
      <c r="E152" t="str">
        <f>IFERROR(INDEX(Menu!$B$2:$B$500, MATCH(151, Menu!$K$2:$K$500, 0)),"")</f>
        <v/>
      </c>
      <c r="F152" t="str">
        <f>IFERROR(INDEX(Menu!$B$2:$B$500, MATCH(151, Menu!$L$2:$L$500, 0)),"")</f>
        <v/>
      </c>
    </row>
    <row r="153" spans="1:6">
      <c r="A153" t="str">
        <f>IFERROR(INDEX(Menu!$B$2:$B$500, MATCH(152, Menu!$G$2:$G$500, 0)),"")</f>
        <v/>
      </c>
      <c r="B153" t="str">
        <f>IFERROR(INDEX(Menu!$B$2:$B$500, MATCH(152, Menu!$H$2:$H$500, 0)),"")</f>
        <v/>
      </c>
      <c r="C153" t="str">
        <f>IFERROR(INDEX(Menu!$B$2:$B$500, MATCH(152, Menu!$I$2:$I$500, 0)),"")</f>
        <v/>
      </c>
      <c r="D153" t="str">
        <f>IFERROR(INDEX(Menu!$B$2:$B$500, MATCH(152, Menu!$J$2:$J$500, 0)),"")</f>
        <v/>
      </c>
      <c r="E153" t="str">
        <f>IFERROR(INDEX(Menu!$B$2:$B$500, MATCH(152, Menu!$K$2:$K$500, 0)),"")</f>
        <v/>
      </c>
      <c r="F153" t="str">
        <f>IFERROR(INDEX(Menu!$B$2:$B$500, MATCH(152, Menu!$L$2:$L$500, 0)),"")</f>
        <v/>
      </c>
    </row>
    <row r="154" spans="1:6">
      <c r="A154" t="str">
        <f>IFERROR(INDEX(Menu!$B$2:$B$500, MATCH(153, Menu!$G$2:$G$500, 0)),"")</f>
        <v/>
      </c>
      <c r="B154" t="str">
        <f>IFERROR(INDEX(Menu!$B$2:$B$500, MATCH(153, Menu!$H$2:$H$500, 0)),"")</f>
        <v/>
      </c>
      <c r="C154" t="str">
        <f>IFERROR(INDEX(Menu!$B$2:$B$500, MATCH(153, Menu!$I$2:$I$500, 0)),"")</f>
        <v/>
      </c>
      <c r="D154" t="str">
        <f>IFERROR(INDEX(Menu!$B$2:$B$500, MATCH(153, Menu!$J$2:$J$500, 0)),"")</f>
        <v/>
      </c>
      <c r="E154" t="str">
        <f>IFERROR(INDEX(Menu!$B$2:$B$500, MATCH(153, Menu!$K$2:$K$500, 0)),"")</f>
        <v/>
      </c>
      <c r="F154" t="str">
        <f>IFERROR(INDEX(Menu!$B$2:$B$500, MATCH(153, Menu!$L$2:$L$500, 0)),"")</f>
        <v/>
      </c>
    </row>
    <row r="155" spans="1:6">
      <c r="A155" t="str">
        <f>IFERROR(INDEX(Menu!$B$2:$B$500, MATCH(154, Menu!$G$2:$G$500, 0)),"")</f>
        <v/>
      </c>
      <c r="B155" t="str">
        <f>IFERROR(INDEX(Menu!$B$2:$B$500, MATCH(154, Menu!$H$2:$H$500, 0)),"")</f>
        <v/>
      </c>
      <c r="C155" t="str">
        <f>IFERROR(INDEX(Menu!$B$2:$B$500, MATCH(154, Menu!$I$2:$I$500, 0)),"")</f>
        <v/>
      </c>
      <c r="D155" t="str">
        <f>IFERROR(INDEX(Menu!$B$2:$B$500, MATCH(154, Menu!$J$2:$J$500, 0)),"")</f>
        <v/>
      </c>
      <c r="E155" t="str">
        <f>IFERROR(INDEX(Menu!$B$2:$B$500, MATCH(154, Menu!$K$2:$K$500, 0)),"")</f>
        <v/>
      </c>
      <c r="F155" t="str">
        <f>IFERROR(INDEX(Menu!$B$2:$B$500, MATCH(154, Menu!$L$2:$L$500, 0)),"")</f>
        <v/>
      </c>
    </row>
    <row r="156" spans="1:6">
      <c r="A156" t="str">
        <f>IFERROR(INDEX(Menu!$B$2:$B$500, MATCH(155, Menu!$G$2:$G$500, 0)),"")</f>
        <v/>
      </c>
      <c r="B156" t="str">
        <f>IFERROR(INDEX(Menu!$B$2:$B$500, MATCH(155, Menu!$H$2:$H$500, 0)),"")</f>
        <v/>
      </c>
      <c r="C156" t="str">
        <f>IFERROR(INDEX(Menu!$B$2:$B$500, MATCH(155, Menu!$I$2:$I$500, 0)),"")</f>
        <v/>
      </c>
      <c r="D156" t="str">
        <f>IFERROR(INDEX(Menu!$B$2:$B$500, MATCH(155, Menu!$J$2:$J$500, 0)),"")</f>
        <v/>
      </c>
      <c r="E156" t="str">
        <f>IFERROR(INDEX(Menu!$B$2:$B$500, MATCH(155, Menu!$K$2:$K$500, 0)),"")</f>
        <v/>
      </c>
      <c r="F156" t="str">
        <f>IFERROR(INDEX(Menu!$B$2:$B$500, MATCH(155, Menu!$L$2:$L$500, 0)),"")</f>
        <v/>
      </c>
    </row>
    <row r="157" spans="1:6">
      <c r="A157" t="str">
        <f>IFERROR(INDEX(Menu!$B$2:$B$500, MATCH(156, Menu!$G$2:$G$500, 0)),"")</f>
        <v/>
      </c>
      <c r="B157" t="str">
        <f>IFERROR(INDEX(Menu!$B$2:$B$500, MATCH(156, Menu!$H$2:$H$500, 0)),"")</f>
        <v/>
      </c>
      <c r="C157" t="str">
        <f>IFERROR(INDEX(Menu!$B$2:$B$500, MATCH(156, Menu!$I$2:$I$500, 0)),"")</f>
        <v/>
      </c>
      <c r="D157" t="str">
        <f>IFERROR(INDEX(Menu!$B$2:$B$500, MATCH(156, Menu!$J$2:$J$500, 0)),"")</f>
        <v/>
      </c>
      <c r="E157" t="str">
        <f>IFERROR(INDEX(Menu!$B$2:$B$500, MATCH(156, Menu!$K$2:$K$500, 0)),"")</f>
        <v/>
      </c>
      <c r="F157" t="str">
        <f>IFERROR(INDEX(Menu!$B$2:$B$500, MATCH(156, Menu!$L$2:$L$500, 0)),"")</f>
        <v/>
      </c>
    </row>
    <row r="158" spans="1:6">
      <c r="A158" t="str">
        <f>IFERROR(INDEX(Menu!$B$2:$B$500, MATCH(157, Menu!$G$2:$G$500, 0)),"")</f>
        <v/>
      </c>
      <c r="B158" t="str">
        <f>IFERROR(INDEX(Menu!$B$2:$B$500, MATCH(157, Menu!$H$2:$H$500, 0)),"")</f>
        <v/>
      </c>
      <c r="C158" t="str">
        <f>IFERROR(INDEX(Menu!$B$2:$B$500, MATCH(157, Menu!$I$2:$I$500, 0)),"")</f>
        <v/>
      </c>
      <c r="D158" t="str">
        <f>IFERROR(INDEX(Menu!$B$2:$B$500, MATCH(157, Menu!$J$2:$J$500, 0)),"")</f>
        <v/>
      </c>
      <c r="E158" t="str">
        <f>IFERROR(INDEX(Menu!$B$2:$B$500, MATCH(157, Menu!$K$2:$K$500, 0)),"")</f>
        <v/>
      </c>
      <c r="F158" t="str">
        <f>IFERROR(INDEX(Menu!$B$2:$B$500, MATCH(157, Menu!$L$2:$L$500, 0)),"")</f>
        <v/>
      </c>
    </row>
    <row r="159" spans="1:6">
      <c r="A159" t="str">
        <f>IFERROR(INDEX(Menu!$B$2:$B$500, MATCH(158, Menu!$G$2:$G$500, 0)),"")</f>
        <v/>
      </c>
      <c r="B159" t="str">
        <f>IFERROR(INDEX(Menu!$B$2:$B$500, MATCH(158, Menu!$H$2:$H$500, 0)),"")</f>
        <v/>
      </c>
      <c r="C159" t="str">
        <f>IFERROR(INDEX(Menu!$B$2:$B$500, MATCH(158, Menu!$I$2:$I$500, 0)),"")</f>
        <v/>
      </c>
      <c r="D159" t="str">
        <f>IFERROR(INDEX(Menu!$B$2:$B$500, MATCH(158, Menu!$J$2:$J$500, 0)),"")</f>
        <v/>
      </c>
      <c r="E159" t="str">
        <f>IFERROR(INDEX(Menu!$B$2:$B$500, MATCH(158, Menu!$K$2:$K$500, 0)),"")</f>
        <v/>
      </c>
      <c r="F159" t="str">
        <f>IFERROR(INDEX(Menu!$B$2:$B$500, MATCH(158, Menu!$L$2:$L$500, 0)),"")</f>
        <v/>
      </c>
    </row>
    <row r="160" spans="1:6">
      <c r="A160" t="str">
        <f>IFERROR(INDEX(Menu!$B$2:$B$500, MATCH(159, Menu!$G$2:$G$500, 0)),"")</f>
        <v/>
      </c>
      <c r="B160" t="str">
        <f>IFERROR(INDEX(Menu!$B$2:$B$500, MATCH(159, Menu!$H$2:$H$500, 0)),"")</f>
        <v/>
      </c>
      <c r="C160" t="str">
        <f>IFERROR(INDEX(Menu!$B$2:$B$500, MATCH(159, Menu!$I$2:$I$500, 0)),"")</f>
        <v/>
      </c>
      <c r="D160" t="str">
        <f>IFERROR(INDEX(Menu!$B$2:$B$500, MATCH(159, Menu!$J$2:$J$500, 0)),"")</f>
        <v/>
      </c>
      <c r="E160" t="str">
        <f>IFERROR(INDEX(Menu!$B$2:$B$500, MATCH(159, Menu!$K$2:$K$500, 0)),"")</f>
        <v/>
      </c>
      <c r="F160" t="str">
        <f>IFERROR(INDEX(Menu!$B$2:$B$500, MATCH(159, Menu!$L$2:$L$500, 0)),"")</f>
        <v/>
      </c>
    </row>
    <row r="161" spans="1:6">
      <c r="A161" t="str">
        <f>IFERROR(INDEX(Menu!$B$2:$B$500, MATCH(160, Menu!$G$2:$G$500, 0)),"")</f>
        <v/>
      </c>
      <c r="B161" t="str">
        <f>IFERROR(INDEX(Menu!$B$2:$B$500, MATCH(160, Menu!$H$2:$H$500, 0)),"")</f>
        <v/>
      </c>
      <c r="C161" t="str">
        <f>IFERROR(INDEX(Menu!$B$2:$B$500, MATCH(160, Menu!$I$2:$I$500, 0)),"")</f>
        <v/>
      </c>
      <c r="D161" t="str">
        <f>IFERROR(INDEX(Menu!$B$2:$B$500, MATCH(160, Menu!$J$2:$J$500, 0)),"")</f>
        <v/>
      </c>
      <c r="E161" t="str">
        <f>IFERROR(INDEX(Menu!$B$2:$B$500, MATCH(160, Menu!$K$2:$K$500, 0)),"")</f>
        <v/>
      </c>
      <c r="F161" t="str">
        <f>IFERROR(INDEX(Menu!$B$2:$B$500, MATCH(160, Menu!$L$2:$L$500, 0)),"")</f>
        <v/>
      </c>
    </row>
    <row r="162" spans="1:6">
      <c r="A162" t="str">
        <f>IFERROR(INDEX(Menu!$B$2:$B$500, MATCH(161, Menu!$G$2:$G$500, 0)),"")</f>
        <v/>
      </c>
      <c r="B162" t="str">
        <f>IFERROR(INDEX(Menu!$B$2:$B$500, MATCH(161, Menu!$H$2:$H$500, 0)),"")</f>
        <v/>
      </c>
      <c r="C162" t="str">
        <f>IFERROR(INDEX(Menu!$B$2:$B$500, MATCH(161, Menu!$I$2:$I$500, 0)),"")</f>
        <v/>
      </c>
      <c r="D162" t="str">
        <f>IFERROR(INDEX(Menu!$B$2:$B$500, MATCH(161, Menu!$J$2:$J$500, 0)),"")</f>
        <v/>
      </c>
      <c r="E162" t="str">
        <f>IFERROR(INDEX(Menu!$B$2:$B$500, MATCH(161, Menu!$K$2:$K$500, 0)),"")</f>
        <v/>
      </c>
      <c r="F162" t="str">
        <f>IFERROR(INDEX(Menu!$B$2:$B$500, MATCH(161, Menu!$L$2:$L$500, 0)),"")</f>
        <v/>
      </c>
    </row>
    <row r="163" spans="1:6">
      <c r="A163" t="str">
        <f>IFERROR(INDEX(Menu!$B$2:$B$500, MATCH(162, Menu!$G$2:$G$500, 0)),"")</f>
        <v/>
      </c>
      <c r="B163" t="str">
        <f>IFERROR(INDEX(Menu!$B$2:$B$500, MATCH(162, Menu!$H$2:$H$500, 0)),"")</f>
        <v/>
      </c>
      <c r="C163" t="str">
        <f>IFERROR(INDEX(Menu!$B$2:$B$500, MATCH(162, Menu!$I$2:$I$500, 0)),"")</f>
        <v/>
      </c>
      <c r="D163" t="str">
        <f>IFERROR(INDEX(Menu!$B$2:$B$500, MATCH(162, Menu!$J$2:$J$500, 0)),"")</f>
        <v/>
      </c>
      <c r="E163" t="str">
        <f>IFERROR(INDEX(Menu!$B$2:$B$500, MATCH(162, Menu!$K$2:$K$500, 0)),"")</f>
        <v/>
      </c>
      <c r="F163" t="str">
        <f>IFERROR(INDEX(Menu!$B$2:$B$500, MATCH(162, Menu!$L$2:$L$500, 0)),"")</f>
        <v/>
      </c>
    </row>
    <row r="164" spans="1:6">
      <c r="A164" t="str">
        <f>IFERROR(INDEX(Menu!$B$2:$B$500, MATCH(163, Menu!$G$2:$G$500, 0)),"")</f>
        <v/>
      </c>
      <c r="B164" t="str">
        <f>IFERROR(INDEX(Menu!$B$2:$B$500, MATCH(163, Menu!$H$2:$H$500, 0)),"")</f>
        <v/>
      </c>
      <c r="C164" t="str">
        <f>IFERROR(INDEX(Menu!$B$2:$B$500, MATCH(163, Menu!$I$2:$I$500, 0)),"")</f>
        <v/>
      </c>
      <c r="D164" t="str">
        <f>IFERROR(INDEX(Menu!$B$2:$B$500, MATCH(163, Menu!$J$2:$J$500, 0)),"")</f>
        <v/>
      </c>
      <c r="E164" t="str">
        <f>IFERROR(INDEX(Menu!$B$2:$B$500, MATCH(163, Menu!$K$2:$K$500, 0)),"")</f>
        <v/>
      </c>
      <c r="F164" t="str">
        <f>IFERROR(INDEX(Menu!$B$2:$B$500, MATCH(163, Menu!$L$2:$L$500, 0)),"")</f>
        <v/>
      </c>
    </row>
    <row r="165" spans="1:6">
      <c r="A165" t="str">
        <f>IFERROR(INDEX(Menu!$B$2:$B$500, MATCH(164, Menu!$G$2:$G$500, 0)),"")</f>
        <v/>
      </c>
      <c r="B165" t="str">
        <f>IFERROR(INDEX(Menu!$B$2:$B$500, MATCH(164, Menu!$H$2:$H$500, 0)),"")</f>
        <v/>
      </c>
      <c r="C165" t="str">
        <f>IFERROR(INDEX(Menu!$B$2:$B$500, MATCH(164, Menu!$I$2:$I$500, 0)),"")</f>
        <v/>
      </c>
      <c r="D165" t="str">
        <f>IFERROR(INDEX(Menu!$B$2:$B$500, MATCH(164, Menu!$J$2:$J$500, 0)),"")</f>
        <v/>
      </c>
      <c r="E165" t="str">
        <f>IFERROR(INDEX(Menu!$B$2:$B$500, MATCH(164, Menu!$K$2:$K$500, 0)),"")</f>
        <v/>
      </c>
      <c r="F165" t="str">
        <f>IFERROR(INDEX(Menu!$B$2:$B$500, MATCH(164, Menu!$L$2:$L$500, 0)),"")</f>
        <v/>
      </c>
    </row>
    <row r="166" spans="1:6">
      <c r="A166" t="str">
        <f>IFERROR(INDEX(Menu!$B$2:$B$500, MATCH(165, Menu!$G$2:$G$500, 0)),"")</f>
        <v/>
      </c>
      <c r="B166" t="str">
        <f>IFERROR(INDEX(Menu!$B$2:$B$500, MATCH(165, Menu!$H$2:$H$500, 0)),"")</f>
        <v/>
      </c>
      <c r="C166" t="str">
        <f>IFERROR(INDEX(Menu!$B$2:$B$500, MATCH(165, Menu!$I$2:$I$500, 0)),"")</f>
        <v/>
      </c>
      <c r="D166" t="str">
        <f>IFERROR(INDEX(Menu!$B$2:$B$500, MATCH(165, Menu!$J$2:$J$500, 0)),"")</f>
        <v/>
      </c>
      <c r="E166" t="str">
        <f>IFERROR(INDEX(Menu!$B$2:$B$500, MATCH(165, Menu!$K$2:$K$500, 0)),"")</f>
        <v/>
      </c>
      <c r="F166" t="str">
        <f>IFERROR(INDEX(Menu!$B$2:$B$500, MATCH(165, Menu!$L$2:$L$500, 0)),"")</f>
        <v/>
      </c>
    </row>
    <row r="167" spans="1:6">
      <c r="A167" t="str">
        <f>IFERROR(INDEX(Menu!$B$2:$B$500, MATCH(166, Menu!$G$2:$G$500, 0)),"")</f>
        <v/>
      </c>
      <c r="B167" t="str">
        <f>IFERROR(INDEX(Menu!$B$2:$B$500, MATCH(166, Menu!$H$2:$H$500, 0)),"")</f>
        <v/>
      </c>
      <c r="C167" t="str">
        <f>IFERROR(INDEX(Menu!$B$2:$B$500, MATCH(166, Menu!$I$2:$I$500, 0)),"")</f>
        <v/>
      </c>
      <c r="D167" t="str">
        <f>IFERROR(INDEX(Menu!$B$2:$B$500, MATCH(166, Menu!$J$2:$J$500, 0)),"")</f>
        <v/>
      </c>
      <c r="E167" t="str">
        <f>IFERROR(INDEX(Menu!$B$2:$B$500, MATCH(166, Menu!$K$2:$K$500, 0)),"")</f>
        <v/>
      </c>
      <c r="F167" t="str">
        <f>IFERROR(INDEX(Menu!$B$2:$B$500, MATCH(166, Menu!$L$2:$L$500, 0)),"")</f>
        <v/>
      </c>
    </row>
    <row r="168" spans="1:6">
      <c r="A168" t="str">
        <f>IFERROR(INDEX(Menu!$B$2:$B$500, MATCH(167, Menu!$G$2:$G$500, 0)),"")</f>
        <v/>
      </c>
      <c r="B168" t="str">
        <f>IFERROR(INDEX(Menu!$B$2:$B$500, MATCH(167, Menu!$H$2:$H$500, 0)),"")</f>
        <v/>
      </c>
      <c r="C168" t="str">
        <f>IFERROR(INDEX(Menu!$B$2:$B$500, MATCH(167, Menu!$I$2:$I$500, 0)),"")</f>
        <v/>
      </c>
      <c r="D168" t="str">
        <f>IFERROR(INDEX(Menu!$B$2:$B$500, MATCH(167, Menu!$J$2:$J$500, 0)),"")</f>
        <v/>
      </c>
      <c r="E168" t="str">
        <f>IFERROR(INDEX(Menu!$B$2:$B$500, MATCH(167, Menu!$K$2:$K$500, 0)),"")</f>
        <v/>
      </c>
      <c r="F168" t="str">
        <f>IFERROR(INDEX(Menu!$B$2:$B$500, MATCH(167, Menu!$L$2:$L$500, 0)),"")</f>
        <v/>
      </c>
    </row>
    <row r="169" spans="1:6">
      <c r="A169" t="str">
        <f>IFERROR(INDEX(Menu!$B$2:$B$500, MATCH(168, Menu!$G$2:$G$500, 0)),"")</f>
        <v/>
      </c>
      <c r="B169" t="str">
        <f>IFERROR(INDEX(Menu!$B$2:$B$500, MATCH(168, Menu!$H$2:$H$500, 0)),"")</f>
        <v/>
      </c>
      <c r="C169" t="str">
        <f>IFERROR(INDEX(Menu!$B$2:$B$500, MATCH(168, Menu!$I$2:$I$500, 0)),"")</f>
        <v/>
      </c>
      <c r="D169" t="str">
        <f>IFERROR(INDEX(Menu!$B$2:$B$500, MATCH(168, Menu!$J$2:$J$500, 0)),"")</f>
        <v/>
      </c>
      <c r="E169" t="str">
        <f>IFERROR(INDEX(Menu!$B$2:$B$500, MATCH(168, Menu!$K$2:$K$500, 0)),"")</f>
        <v/>
      </c>
      <c r="F169" t="str">
        <f>IFERROR(INDEX(Menu!$B$2:$B$500, MATCH(168, Menu!$L$2:$L$500, 0)),"")</f>
        <v/>
      </c>
    </row>
    <row r="170" spans="1:6">
      <c r="A170" t="str">
        <f>IFERROR(INDEX(Menu!$B$2:$B$500, MATCH(169, Menu!$G$2:$G$500, 0)),"")</f>
        <v/>
      </c>
      <c r="B170" t="str">
        <f>IFERROR(INDEX(Menu!$B$2:$B$500, MATCH(169, Menu!$H$2:$H$500, 0)),"")</f>
        <v/>
      </c>
      <c r="C170" t="str">
        <f>IFERROR(INDEX(Menu!$B$2:$B$500, MATCH(169, Menu!$I$2:$I$500, 0)),"")</f>
        <v/>
      </c>
      <c r="D170" t="str">
        <f>IFERROR(INDEX(Menu!$B$2:$B$500, MATCH(169, Menu!$J$2:$J$500, 0)),"")</f>
        <v/>
      </c>
      <c r="E170" t="str">
        <f>IFERROR(INDEX(Menu!$B$2:$B$500, MATCH(169, Menu!$K$2:$K$500, 0)),"")</f>
        <v/>
      </c>
      <c r="F170" t="str">
        <f>IFERROR(INDEX(Menu!$B$2:$B$500, MATCH(169, Menu!$L$2:$L$500, 0)),"")</f>
        <v/>
      </c>
    </row>
    <row r="171" spans="1:6">
      <c r="A171" t="str">
        <f>IFERROR(INDEX(Menu!$B$2:$B$500, MATCH(170, Menu!$G$2:$G$500, 0)),"")</f>
        <v/>
      </c>
      <c r="B171" t="str">
        <f>IFERROR(INDEX(Menu!$B$2:$B$500, MATCH(170, Menu!$H$2:$H$500, 0)),"")</f>
        <v/>
      </c>
      <c r="C171" t="str">
        <f>IFERROR(INDEX(Menu!$B$2:$B$500, MATCH(170, Menu!$I$2:$I$500, 0)),"")</f>
        <v/>
      </c>
      <c r="D171" t="str">
        <f>IFERROR(INDEX(Menu!$B$2:$B$500, MATCH(170, Menu!$J$2:$J$500, 0)),"")</f>
        <v/>
      </c>
      <c r="E171" t="str">
        <f>IFERROR(INDEX(Menu!$B$2:$B$500, MATCH(170, Menu!$K$2:$K$500, 0)),"")</f>
        <v/>
      </c>
      <c r="F171" t="str">
        <f>IFERROR(INDEX(Menu!$B$2:$B$500, MATCH(170, Menu!$L$2:$L$500, 0)),"")</f>
        <v/>
      </c>
    </row>
    <row r="172" spans="1:6">
      <c r="A172" t="str">
        <f>IFERROR(INDEX(Menu!$B$2:$B$500, MATCH(171, Menu!$G$2:$G$500, 0)),"")</f>
        <v/>
      </c>
      <c r="B172" t="str">
        <f>IFERROR(INDEX(Menu!$B$2:$B$500, MATCH(171, Menu!$H$2:$H$500, 0)),"")</f>
        <v/>
      </c>
      <c r="C172" t="str">
        <f>IFERROR(INDEX(Menu!$B$2:$B$500, MATCH(171, Menu!$I$2:$I$500, 0)),"")</f>
        <v/>
      </c>
      <c r="D172" t="str">
        <f>IFERROR(INDEX(Menu!$B$2:$B$500, MATCH(171, Menu!$J$2:$J$500, 0)),"")</f>
        <v/>
      </c>
      <c r="E172" t="str">
        <f>IFERROR(INDEX(Menu!$B$2:$B$500, MATCH(171, Menu!$K$2:$K$500, 0)),"")</f>
        <v/>
      </c>
      <c r="F172" t="str">
        <f>IFERROR(INDEX(Menu!$B$2:$B$500, MATCH(171, Menu!$L$2:$L$500, 0)),"")</f>
        <v/>
      </c>
    </row>
    <row r="173" spans="1:6">
      <c r="A173" t="str">
        <f>IFERROR(INDEX(Menu!$B$2:$B$500, MATCH(172, Menu!$G$2:$G$500, 0)),"")</f>
        <v/>
      </c>
      <c r="B173" t="str">
        <f>IFERROR(INDEX(Menu!$B$2:$B$500, MATCH(172, Menu!$H$2:$H$500, 0)),"")</f>
        <v/>
      </c>
      <c r="C173" t="str">
        <f>IFERROR(INDEX(Menu!$B$2:$B$500, MATCH(172, Menu!$I$2:$I$500, 0)),"")</f>
        <v/>
      </c>
      <c r="D173" t="str">
        <f>IFERROR(INDEX(Menu!$B$2:$B$500, MATCH(172, Menu!$J$2:$J$500, 0)),"")</f>
        <v/>
      </c>
      <c r="E173" t="str">
        <f>IFERROR(INDEX(Menu!$B$2:$B$500, MATCH(172, Menu!$K$2:$K$500, 0)),"")</f>
        <v/>
      </c>
      <c r="F173" t="str">
        <f>IFERROR(INDEX(Menu!$B$2:$B$500, MATCH(172, Menu!$L$2:$L$500, 0)),"")</f>
        <v/>
      </c>
    </row>
    <row r="174" spans="1:6">
      <c r="A174" t="str">
        <f>IFERROR(INDEX(Menu!$B$2:$B$500, MATCH(173, Menu!$G$2:$G$500, 0)),"")</f>
        <v/>
      </c>
      <c r="B174" t="str">
        <f>IFERROR(INDEX(Menu!$B$2:$B$500, MATCH(173, Menu!$H$2:$H$500, 0)),"")</f>
        <v/>
      </c>
      <c r="C174" t="str">
        <f>IFERROR(INDEX(Menu!$B$2:$B$500, MATCH(173, Menu!$I$2:$I$500, 0)),"")</f>
        <v/>
      </c>
      <c r="D174" t="str">
        <f>IFERROR(INDEX(Menu!$B$2:$B$500, MATCH(173, Menu!$J$2:$J$500, 0)),"")</f>
        <v/>
      </c>
      <c r="E174" t="str">
        <f>IFERROR(INDEX(Menu!$B$2:$B$500, MATCH(173, Menu!$K$2:$K$500, 0)),"")</f>
        <v/>
      </c>
      <c r="F174" t="str">
        <f>IFERROR(INDEX(Menu!$B$2:$B$500, MATCH(173, Menu!$L$2:$L$500, 0)),"")</f>
        <v/>
      </c>
    </row>
    <row r="175" spans="1:6">
      <c r="A175" t="str">
        <f>IFERROR(INDEX(Menu!$B$2:$B$500, MATCH(174, Menu!$G$2:$G$500, 0)),"")</f>
        <v/>
      </c>
      <c r="B175" t="str">
        <f>IFERROR(INDEX(Menu!$B$2:$B$500, MATCH(174, Menu!$H$2:$H$500, 0)),"")</f>
        <v/>
      </c>
      <c r="C175" t="str">
        <f>IFERROR(INDEX(Menu!$B$2:$B$500, MATCH(174, Menu!$I$2:$I$500, 0)),"")</f>
        <v/>
      </c>
      <c r="D175" t="str">
        <f>IFERROR(INDEX(Menu!$B$2:$B$500, MATCH(174, Menu!$J$2:$J$500, 0)),"")</f>
        <v/>
      </c>
      <c r="E175" t="str">
        <f>IFERROR(INDEX(Menu!$B$2:$B$500, MATCH(174, Menu!$K$2:$K$500, 0)),"")</f>
        <v/>
      </c>
      <c r="F175" t="str">
        <f>IFERROR(INDEX(Menu!$B$2:$B$500, MATCH(174, Menu!$L$2:$L$500, 0)),"")</f>
        <v/>
      </c>
    </row>
    <row r="176" spans="1:6">
      <c r="A176" t="str">
        <f>IFERROR(INDEX(Menu!$B$2:$B$500, MATCH(175, Menu!$G$2:$G$500, 0)),"")</f>
        <v/>
      </c>
      <c r="B176" t="str">
        <f>IFERROR(INDEX(Menu!$B$2:$B$500, MATCH(175, Menu!$H$2:$H$500, 0)),"")</f>
        <v/>
      </c>
      <c r="C176" t="str">
        <f>IFERROR(INDEX(Menu!$B$2:$B$500, MATCH(175, Menu!$I$2:$I$500, 0)),"")</f>
        <v/>
      </c>
      <c r="D176" t="str">
        <f>IFERROR(INDEX(Menu!$B$2:$B$500, MATCH(175, Menu!$J$2:$J$500, 0)),"")</f>
        <v/>
      </c>
      <c r="E176" t="str">
        <f>IFERROR(INDEX(Menu!$B$2:$B$500, MATCH(175, Menu!$K$2:$K$500, 0)),"")</f>
        <v/>
      </c>
      <c r="F176" t="str">
        <f>IFERROR(INDEX(Menu!$B$2:$B$500, MATCH(175, Menu!$L$2:$L$500, 0)),"")</f>
        <v/>
      </c>
    </row>
    <row r="177" spans="1:6">
      <c r="A177" t="str">
        <f>IFERROR(INDEX(Menu!$B$2:$B$500, MATCH(176, Menu!$G$2:$G$500, 0)),"")</f>
        <v/>
      </c>
      <c r="B177" t="str">
        <f>IFERROR(INDEX(Menu!$B$2:$B$500, MATCH(176, Menu!$H$2:$H$500, 0)),"")</f>
        <v/>
      </c>
      <c r="C177" t="str">
        <f>IFERROR(INDEX(Menu!$B$2:$B$500, MATCH(176, Menu!$I$2:$I$500, 0)),"")</f>
        <v/>
      </c>
      <c r="D177" t="str">
        <f>IFERROR(INDEX(Menu!$B$2:$B$500, MATCH(176, Menu!$J$2:$J$500, 0)),"")</f>
        <v/>
      </c>
      <c r="E177" t="str">
        <f>IFERROR(INDEX(Menu!$B$2:$B$500, MATCH(176, Menu!$K$2:$K$500, 0)),"")</f>
        <v/>
      </c>
      <c r="F177" t="str">
        <f>IFERROR(INDEX(Menu!$B$2:$B$500, MATCH(176, Menu!$L$2:$L$500, 0)),"")</f>
        <v/>
      </c>
    </row>
    <row r="178" spans="1:6">
      <c r="A178" t="str">
        <f>IFERROR(INDEX(Menu!$B$2:$B$500, MATCH(177, Menu!$G$2:$G$500, 0)),"")</f>
        <v/>
      </c>
      <c r="B178" t="str">
        <f>IFERROR(INDEX(Menu!$B$2:$B$500, MATCH(177, Menu!$H$2:$H$500, 0)),"")</f>
        <v/>
      </c>
      <c r="C178" t="str">
        <f>IFERROR(INDEX(Menu!$B$2:$B$500, MATCH(177, Menu!$I$2:$I$500, 0)),"")</f>
        <v/>
      </c>
      <c r="D178" t="str">
        <f>IFERROR(INDEX(Menu!$B$2:$B$500, MATCH(177, Menu!$J$2:$J$500, 0)),"")</f>
        <v/>
      </c>
      <c r="E178" t="str">
        <f>IFERROR(INDEX(Menu!$B$2:$B$500, MATCH(177, Menu!$K$2:$K$500, 0)),"")</f>
        <v/>
      </c>
      <c r="F178" t="str">
        <f>IFERROR(INDEX(Menu!$B$2:$B$500, MATCH(177, Menu!$L$2:$L$500, 0)),"")</f>
        <v/>
      </c>
    </row>
    <row r="179" spans="1:6">
      <c r="A179" t="str">
        <f>IFERROR(INDEX(Menu!$B$2:$B$500, MATCH(178, Menu!$G$2:$G$500, 0)),"")</f>
        <v/>
      </c>
      <c r="B179" t="str">
        <f>IFERROR(INDEX(Menu!$B$2:$B$500, MATCH(178, Menu!$H$2:$H$500, 0)),"")</f>
        <v/>
      </c>
      <c r="C179" t="str">
        <f>IFERROR(INDEX(Menu!$B$2:$B$500, MATCH(178, Menu!$I$2:$I$500, 0)),"")</f>
        <v/>
      </c>
      <c r="D179" t="str">
        <f>IFERROR(INDEX(Menu!$B$2:$B$500, MATCH(178, Menu!$J$2:$J$500, 0)),"")</f>
        <v/>
      </c>
      <c r="E179" t="str">
        <f>IFERROR(INDEX(Menu!$B$2:$B$500, MATCH(178, Menu!$K$2:$K$500, 0)),"")</f>
        <v/>
      </c>
      <c r="F179" t="str">
        <f>IFERROR(INDEX(Menu!$B$2:$B$500, MATCH(178, Menu!$L$2:$L$500, 0)),"")</f>
        <v/>
      </c>
    </row>
    <row r="180" spans="1:6">
      <c r="A180" t="str">
        <f>IFERROR(INDEX(Menu!$B$2:$B$500, MATCH(179, Menu!$G$2:$G$500, 0)),"")</f>
        <v/>
      </c>
      <c r="B180" t="str">
        <f>IFERROR(INDEX(Menu!$B$2:$B$500, MATCH(179, Menu!$H$2:$H$500, 0)),"")</f>
        <v/>
      </c>
      <c r="C180" t="str">
        <f>IFERROR(INDEX(Menu!$B$2:$B$500, MATCH(179, Menu!$I$2:$I$500, 0)),"")</f>
        <v/>
      </c>
      <c r="D180" t="str">
        <f>IFERROR(INDEX(Menu!$B$2:$B$500, MATCH(179, Menu!$J$2:$J$500, 0)),"")</f>
        <v/>
      </c>
      <c r="E180" t="str">
        <f>IFERROR(INDEX(Menu!$B$2:$B$500, MATCH(179, Menu!$K$2:$K$500, 0)),"")</f>
        <v/>
      </c>
      <c r="F180" t="str">
        <f>IFERROR(INDEX(Menu!$B$2:$B$500, MATCH(179, Menu!$L$2:$L$500, 0)),"")</f>
        <v/>
      </c>
    </row>
    <row r="181" spans="1:6">
      <c r="A181" t="str">
        <f>IFERROR(INDEX(Menu!$B$2:$B$500, MATCH(180, Menu!$G$2:$G$500, 0)),"")</f>
        <v/>
      </c>
      <c r="B181" t="str">
        <f>IFERROR(INDEX(Menu!$B$2:$B$500, MATCH(180, Menu!$H$2:$H$500, 0)),"")</f>
        <v/>
      </c>
      <c r="C181" t="str">
        <f>IFERROR(INDEX(Menu!$B$2:$B$500, MATCH(180, Menu!$I$2:$I$500, 0)),"")</f>
        <v/>
      </c>
      <c r="D181" t="str">
        <f>IFERROR(INDEX(Menu!$B$2:$B$500, MATCH(180, Menu!$J$2:$J$500, 0)),"")</f>
        <v/>
      </c>
      <c r="E181" t="str">
        <f>IFERROR(INDEX(Menu!$B$2:$B$500, MATCH(180, Menu!$K$2:$K$500, 0)),"")</f>
        <v/>
      </c>
      <c r="F181" t="str">
        <f>IFERROR(INDEX(Menu!$B$2:$B$500, MATCH(180, Menu!$L$2:$L$500, 0)),"")</f>
        <v/>
      </c>
    </row>
    <row r="182" spans="1:6">
      <c r="A182" t="str">
        <f>IFERROR(INDEX(Menu!$B$2:$B$500, MATCH(181, Menu!$G$2:$G$500, 0)),"")</f>
        <v/>
      </c>
      <c r="B182" t="str">
        <f>IFERROR(INDEX(Menu!$B$2:$B$500, MATCH(181, Menu!$H$2:$H$500, 0)),"")</f>
        <v/>
      </c>
      <c r="C182" t="str">
        <f>IFERROR(INDEX(Menu!$B$2:$B$500, MATCH(181, Menu!$I$2:$I$500, 0)),"")</f>
        <v/>
      </c>
      <c r="D182" t="str">
        <f>IFERROR(INDEX(Menu!$B$2:$B$500, MATCH(181, Menu!$J$2:$J$500, 0)),"")</f>
        <v/>
      </c>
      <c r="E182" t="str">
        <f>IFERROR(INDEX(Menu!$B$2:$B$500, MATCH(181, Menu!$K$2:$K$500, 0)),"")</f>
        <v/>
      </c>
      <c r="F182" t="str">
        <f>IFERROR(INDEX(Menu!$B$2:$B$500, MATCH(181, Menu!$L$2:$L$500, 0)),"")</f>
        <v/>
      </c>
    </row>
    <row r="183" spans="1:6">
      <c r="A183" t="str">
        <f>IFERROR(INDEX(Menu!$B$2:$B$500, MATCH(182, Menu!$G$2:$G$500, 0)),"")</f>
        <v/>
      </c>
      <c r="B183" t="str">
        <f>IFERROR(INDEX(Menu!$B$2:$B$500, MATCH(182, Menu!$H$2:$H$500, 0)),"")</f>
        <v/>
      </c>
      <c r="C183" t="str">
        <f>IFERROR(INDEX(Menu!$B$2:$B$500, MATCH(182, Menu!$I$2:$I$500, 0)),"")</f>
        <v/>
      </c>
      <c r="D183" t="str">
        <f>IFERROR(INDEX(Menu!$B$2:$B$500, MATCH(182, Menu!$J$2:$J$500, 0)),"")</f>
        <v/>
      </c>
      <c r="E183" t="str">
        <f>IFERROR(INDEX(Menu!$B$2:$B$500, MATCH(182, Menu!$K$2:$K$500, 0)),"")</f>
        <v/>
      </c>
      <c r="F183" t="str">
        <f>IFERROR(INDEX(Menu!$B$2:$B$500, MATCH(182, Menu!$L$2:$L$500, 0)),"")</f>
        <v/>
      </c>
    </row>
    <row r="184" spans="1:6">
      <c r="A184" t="str">
        <f>IFERROR(INDEX(Menu!$B$2:$B$500, MATCH(183, Menu!$G$2:$G$500, 0)),"")</f>
        <v/>
      </c>
      <c r="B184" t="str">
        <f>IFERROR(INDEX(Menu!$B$2:$B$500, MATCH(183, Menu!$H$2:$H$500, 0)),"")</f>
        <v/>
      </c>
      <c r="C184" t="str">
        <f>IFERROR(INDEX(Menu!$B$2:$B$500, MATCH(183, Menu!$I$2:$I$500, 0)),"")</f>
        <v/>
      </c>
      <c r="D184" t="str">
        <f>IFERROR(INDEX(Menu!$B$2:$B$500, MATCH(183, Menu!$J$2:$J$500, 0)),"")</f>
        <v/>
      </c>
      <c r="E184" t="str">
        <f>IFERROR(INDEX(Menu!$B$2:$B$500, MATCH(183, Menu!$K$2:$K$500, 0)),"")</f>
        <v/>
      </c>
      <c r="F184" t="str">
        <f>IFERROR(INDEX(Menu!$B$2:$B$500, MATCH(183, Menu!$L$2:$L$500, 0)),"")</f>
        <v/>
      </c>
    </row>
    <row r="185" spans="1:6">
      <c r="A185" t="str">
        <f>IFERROR(INDEX(Menu!$B$2:$B$500, MATCH(184, Menu!$G$2:$G$500, 0)),"")</f>
        <v/>
      </c>
      <c r="B185" t="str">
        <f>IFERROR(INDEX(Menu!$B$2:$B$500, MATCH(184, Menu!$H$2:$H$500, 0)),"")</f>
        <v/>
      </c>
      <c r="C185" t="str">
        <f>IFERROR(INDEX(Menu!$B$2:$B$500, MATCH(184, Menu!$I$2:$I$500, 0)),"")</f>
        <v/>
      </c>
      <c r="D185" t="str">
        <f>IFERROR(INDEX(Menu!$B$2:$B$500, MATCH(184, Menu!$J$2:$J$500, 0)),"")</f>
        <v/>
      </c>
      <c r="E185" t="str">
        <f>IFERROR(INDEX(Menu!$B$2:$B$500, MATCH(184, Menu!$K$2:$K$500, 0)),"")</f>
        <v/>
      </c>
      <c r="F185" t="str">
        <f>IFERROR(INDEX(Menu!$B$2:$B$500, MATCH(184, Menu!$L$2:$L$500, 0)),"")</f>
        <v/>
      </c>
    </row>
    <row r="186" spans="1:6">
      <c r="A186" t="str">
        <f>IFERROR(INDEX(Menu!$B$2:$B$500, MATCH(185, Menu!$G$2:$G$500, 0)),"")</f>
        <v/>
      </c>
      <c r="B186" t="str">
        <f>IFERROR(INDEX(Menu!$B$2:$B$500, MATCH(185, Menu!$H$2:$H$500, 0)),"")</f>
        <v/>
      </c>
      <c r="C186" t="str">
        <f>IFERROR(INDEX(Menu!$B$2:$B$500, MATCH(185, Menu!$I$2:$I$500, 0)),"")</f>
        <v/>
      </c>
      <c r="D186" t="str">
        <f>IFERROR(INDEX(Menu!$B$2:$B$500, MATCH(185, Menu!$J$2:$J$500, 0)),"")</f>
        <v/>
      </c>
      <c r="E186" t="str">
        <f>IFERROR(INDEX(Menu!$B$2:$B$500, MATCH(185, Menu!$K$2:$K$500, 0)),"")</f>
        <v/>
      </c>
      <c r="F186" t="str">
        <f>IFERROR(INDEX(Menu!$B$2:$B$500, MATCH(185, Menu!$L$2:$L$500, 0)),"")</f>
        <v/>
      </c>
    </row>
    <row r="187" spans="1:6">
      <c r="A187" t="str">
        <f>IFERROR(INDEX(Menu!$B$2:$B$500, MATCH(186, Menu!$G$2:$G$500, 0)),"")</f>
        <v/>
      </c>
      <c r="B187" t="str">
        <f>IFERROR(INDEX(Menu!$B$2:$B$500, MATCH(186, Menu!$H$2:$H$500, 0)),"")</f>
        <v/>
      </c>
      <c r="C187" t="str">
        <f>IFERROR(INDEX(Menu!$B$2:$B$500, MATCH(186, Menu!$I$2:$I$500, 0)),"")</f>
        <v/>
      </c>
      <c r="D187" t="str">
        <f>IFERROR(INDEX(Menu!$B$2:$B$500, MATCH(186, Menu!$J$2:$J$500, 0)),"")</f>
        <v/>
      </c>
      <c r="E187" t="str">
        <f>IFERROR(INDEX(Menu!$B$2:$B$500, MATCH(186, Menu!$K$2:$K$500, 0)),"")</f>
        <v/>
      </c>
      <c r="F187" t="str">
        <f>IFERROR(INDEX(Menu!$B$2:$B$500, MATCH(186, Menu!$L$2:$L$500, 0)),"")</f>
        <v/>
      </c>
    </row>
    <row r="188" spans="1:6">
      <c r="A188" t="str">
        <f>IFERROR(INDEX(Menu!$B$2:$B$500, MATCH(187, Menu!$G$2:$G$500, 0)),"")</f>
        <v/>
      </c>
      <c r="B188" t="str">
        <f>IFERROR(INDEX(Menu!$B$2:$B$500, MATCH(187, Menu!$H$2:$H$500, 0)),"")</f>
        <v/>
      </c>
      <c r="C188" t="str">
        <f>IFERROR(INDEX(Menu!$B$2:$B$500, MATCH(187, Menu!$I$2:$I$500, 0)),"")</f>
        <v/>
      </c>
      <c r="D188" t="str">
        <f>IFERROR(INDEX(Menu!$B$2:$B$500, MATCH(187, Menu!$J$2:$J$500, 0)),"")</f>
        <v/>
      </c>
      <c r="E188" t="str">
        <f>IFERROR(INDEX(Menu!$B$2:$B$500, MATCH(187, Menu!$K$2:$K$500, 0)),"")</f>
        <v/>
      </c>
      <c r="F188" t="str">
        <f>IFERROR(INDEX(Menu!$B$2:$B$500, MATCH(187, Menu!$L$2:$L$500, 0)),"")</f>
        <v/>
      </c>
    </row>
    <row r="189" spans="1:6">
      <c r="A189" t="str">
        <f>IFERROR(INDEX(Menu!$B$2:$B$500, MATCH(188, Menu!$G$2:$G$500, 0)),"")</f>
        <v/>
      </c>
      <c r="B189" t="str">
        <f>IFERROR(INDEX(Menu!$B$2:$B$500, MATCH(188, Menu!$H$2:$H$500, 0)),"")</f>
        <v/>
      </c>
      <c r="C189" t="str">
        <f>IFERROR(INDEX(Menu!$B$2:$B$500, MATCH(188, Menu!$I$2:$I$500, 0)),"")</f>
        <v/>
      </c>
      <c r="D189" t="str">
        <f>IFERROR(INDEX(Menu!$B$2:$B$500, MATCH(188, Menu!$J$2:$J$500, 0)),"")</f>
        <v/>
      </c>
      <c r="E189" t="str">
        <f>IFERROR(INDEX(Menu!$B$2:$B$500, MATCH(188, Menu!$K$2:$K$500, 0)),"")</f>
        <v/>
      </c>
      <c r="F189" t="str">
        <f>IFERROR(INDEX(Menu!$B$2:$B$500, MATCH(188, Menu!$L$2:$L$500, 0)),"")</f>
        <v/>
      </c>
    </row>
    <row r="190" spans="1:6">
      <c r="A190" t="str">
        <f>IFERROR(INDEX(Menu!$B$2:$B$500, MATCH(189, Menu!$G$2:$G$500, 0)),"")</f>
        <v/>
      </c>
      <c r="B190" t="str">
        <f>IFERROR(INDEX(Menu!$B$2:$B$500, MATCH(189, Menu!$H$2:$H$500, 0)),"")</f>
        <v/>
      </c>
      <c r="C190" t="str">
        <f>IFERROR(INDEX(Menu!$B$2:$B$500, MATCH(189, Menu!$I$2:$I$500, 0)),"")</f>
        <v/>
      </c>
      <c r="D190" t="str">
        <f>IFERROR(INDEX(Menu!$B$2:$B$500, MATCH(189, Menu!$J$2:$J$500, 0)),"")</f>
        <v/>
      </c>
      <c r="E190" t="str">
        <f>IFERROR(INDEX(Menu!$B$2:$B$500, MATCH(189, Menu!$K$2:$K$500, 0)),"")</f>
        <v/>
      </c>
      <c r="F190" t="str">
        <f>IFERROR(INDEX(Menu!$B$2:$B$500, MATCH(189, Menu!$L$2:$L$500, 0)),"")</f>
        <v/>
      </c>
    </row>
    <row r="191" spans="1:6">
      <c r="A191" t="str">
        <f>IFERROR(INDEX(Menu!$B$2:$B$500, MATCH(190, Menu!$G$2:$G$500, 0)),"")</f>
        <v/>
      </c>
      <c r="B191" t="str">
        <f>IFERROR(INDEX(Menu!$B$2:$B$500, MATCH(190, Menu!$H$2:$H$500, 0)),"")</f>
        <v/>
      </c>
      <c r="C191" t="str">
        <f>IFERROR(INDEX(Menu!$B$2:$B$500, MATCH(190, Menu!$I$2:$I$500, 0)),"")</f>
        <v/>
      </c>
      <c r="D191" t="str">
        <f>IFERROR(INDEX(Menu!$B$2:$B$500, MATCH(190, Menu!$J$2:$J$500, 0)),"")</f>
        <v/>
      </c>
      <c r="E191" t="str">
        <f>IFERROR(INDEX(Menu!$B$2:$B$500, MATCH(190, Menu!$K$2:$K$500, 0)),"")</f>
        <v/>
      </c>
      <c r="F191" t="str">
        <f>IFERROR(INDEX(Menu!$B$2:$B$500, MATCH(190, Menu!$L$2:$L$500, 0)),"")</f>
        <v/>
      </c>
    </row>
    <row r="192" spans="1:6">
      <c r="A192" t="str">
        <f>IFERROR(INDEX(Menu!$B$2:$B$500, MATCH(191, Menu!$G$2:$G$500, 0)),"")</f>
        <v/>
      </c>
      <c r="B192" t="str">
        <f>IFERROR(INDEX(Menu!$B$2:$B$500, MATCH(191, Menu!$H$2:$H$500, 0)),"")</f>
        <v/>
      </c>
      <c r="C192" t="str">
        <f>IFERROR(INDEX(Menu!$B$2:$B$500, MATCH(191, Menu!$I$2:$I$500, 0)),"")</f>
        <v/>
      </c>
      <c r="D192" t="str">
        <f>IFERROR(INDEX(Menu!$B$2:$B$500, MATCH(191, Menu!$J$2:$J$500, 0)),"")</f>
        <v/>
      </c>
      <c r="E192" t="str">
        <f>IFERROR(INDEX(Menu!$B$2:$B$500, MATCH(191, Menu!$K$2:$K$500, 0)),"")</f>
        <v/>
      </c>
      <c r="F192" t="str">
        <f>IFERROR(INDEX(Menu!$B$2:$B$500, MATCH(191, Menu!$L$2:$L$500, 0)),"")</f>
        <v/>
      </c>
    </row>
    <row r="193" spans="1:6">
      <c r="A193" t="str">
        <f>IFERROR(INDEX(Menu!$B$2:$B$500, MATCH(192, Menu!$G$2:$G$500, 0)),"")</f>
        <v/>
      </c>
      <c r="B193" t="str">
        <f>IFERROR(INDEX(Menu!$B$2:$B$500, MATCH(192, Menu!$H$2:$H$500, 0)),"")</f>
        <v/>
      </c>
      <c r="C193" t="str">
        <f>IFERROR(INDEX(Menu!$B$2:$B$500, MATCH(192, Menu!$I$2:$I$500, 0)),"")</f>
        <v/>
      </c>
      <c r="D193" t="str">
        <f>IFERROR(INDEX(Menu!$B$2:$B$500, MATCH(192, Menu!$J$2:$J$500, 0)),"")</f>
        <v/>
      </c>
      <c r="E193" t="str">
        <f>IFERROR(INDEX(Menu!$B$2:$B$500, MATCH(192, Menu!$K$2:$K$500, 0)),"")</f>
        <v/>
      </c>
      <c r="F193" t="str">
        <f>IFERROR(INDEX(Menu!$B$2:$B$500, MATCH(192, Menu!$L$2:$L$500, 0)),"")</f>
        <v/>
      </c>
    </row>
    <row r="194" spans="1:6">
      <c r="A194" t="str">
        <f>IFERROR(INDEX(Menu!$B$2:$B$500, MATCH(193, Menu!$G$2:$G$500, 0)),"")</f>
        <v/>
      </c>
      <c r="B194" t="str">
        <f>IFERROR(INDEX(Menu!$B$2:$B$500, MATCH(193, Menu!$H$2:$H$500, 0)),"")</f>
        <v/>
      </c>
      <c r="C194" t="str">
        <f>IFERROR(INDEX(Menu!$B$2:$B$500, MATCH(193, Menu!$I$2:$I$500, 0)),"")</f>
        <v/>
      </c>
      <c r="D194" t="str">
        <f>IFERROR(INDEX(Menu!$B$2:$B$500, MATCH(193, Menu!$J$2:$J$500, 0)),"")</f>
        <v/>
      </c>
      <c r="E194" t="str">
        <f>IFERROR(INDEX(Menu!$B$2:$B$500, MATCH(193, Menu!$K$2:$K$500, 0)),"")</f>
        <v/>
      </c>
      <c r="F194" t="str">
        <f>IFERROR(INDEX(Menu!$B$2:$B$500, MATCH(193, Menu!$L$2:$L$500, 0)),"")</f>
        <v/>
      </c>
    </row>
    <row r="195" spans="1:6">
      <c r="A195" t="str">
        <f>IFERROR(INDEX(Menu!$B$2:$B$500, MATCH(194, Menu!$G$2:$G$500, 0)),"")</f>
        <v/>
      </c>
      <c r="B195" t="str">
        <f>IFERROR(INDEX(Menu!$B$2:$B$500, MATCH(194, Menu!$H$2:$H$500, 0)),"")</f>
        <v/>
      </c>
      <c r="C195" t="str">
        <f>IFERROR(INDEX(Menu!$B$2:$B$500, MATCH(194, Menu!$I$2:$I$500, 0)),"")</f>
        <v/>
      </c>
      <c r="D195" t="str">
        <f>IFERROR(INDEX(Menu!$B$2:$B$500, MATCH(194, Menu!$J$2:$J$500, 0)),"")</f>
        <v/>
      </c>
      <c r="E195" t="str">
        <f>IFERROR(INDEX(Menu!$B$2:$B$500, MATCH(194, Menu!$K$2:$K$500, 0)),"")</f>
        <v/>
      </c>
      <c r="F195" t="str">
        <f>IFERROR(INDEX(Menu!$B$2:$B$500, MATCH(194, Menu!$L$2:$L$500, 0)),"")</f>
        <v/>
      </c>
    </row>
    <row r="196" spans="1:6">
      <c r="A196" t="str">
        <f>IFERROR(INDEX(Menu!$B$2:$B$500, MATCH(195, Menu!$G$2:$G$500, 0)),"")</f>
        <v/>
      </c>
      <c r="B196" t="str">
        <f>IFERROR(INDEX(Menu!$B$2:$B$500, MATCH(195, Menu!$H$2:$H$500, 0)),"")</f>
        <v/>
      </c>
      <c r="C196" t="str">
        <f>IFERROR(INDEX(Menu!$B$2:$B$500, MATCH(195, Menu!$I$2:$I$500, 0)),"")</f>
        <v/>
      </c>
      <c r="D196" t="str">
        <f>IFERROR(INDEX(Menu!$B$2:$B$500, MATCH(195, Menu!$J$2:$J$500, 0)),"")</f>
        <v/>
      </c>
      <c r="E196" t="str">
        <f>IFERROR(INDEX(Menu!$B$2:$B$500, MATCH(195, Menu!$K$2:$K$500, 0)),"")</f>
        <v/>
      </c>
      <c r="F196" t="str">
        <f>IFERROR(INDEX(Menu!$B$2:$B$500, MATCH(195, Menu!$L$2:$L$500, 0)),"")</f>
        <v/>
      </c>
    </row>
    <row r="197" spans="1:6">
      <c r="A197" t="str">
        <f>IFERROR(INDEX(Menu!$B$2:$B$500, MATCH(196, Menu!$G$2:$G$500, 0)),"")</f>
        <v/>
      </c>
      <c r="B197" t="str">
        <f>IFERROR(INDEX(Menu!$B$2:$B$500, MATCH(196, Menu!$H$2:$H$500, 0)),"")</f>
        <v/>
      </c>
      <c r="C197" t="str">
        <f>IFERROR(INDEX(Menu!$B$2:$B$500, MATCH(196, Menu!$I$2:$I$500, 0)),"")</f>
        <v/>
      </c>
      <c r="D197" t="str">
        <f>IFERROR(INDEX(Menu!$B$2:$B$500, MATCH(196, Menu!$J$2:$J$500, 0)),"")</f>
        <v/>
      </c>
      <c r="E197" t="str">
        <f>IFERROR(INDEX(Menu!$B$2:$B$500, MATCH(196, Menu!$K$2:$K$500, 0)),"")</f>
        <v/>
      </c>
      <c r="F197" t="str">
        <f>IFERROR(INDEX(Menu!$B$2:$B$500, MATCH(196, Menu!$L$2:$L$500, 0)),"")</f>
        <v/>
      </c>
    </row>
    <row r="198" spans="1:6">
      <c r="A198" t="str">
        <f>IFERROR(INDEX(Menu!$B$2:$B$500, MATCH(197, Menu!$G$2:$G$500, 0)),"")</f>
        <v/>
      </c>
      <c r="B198" t="str">
        <f>IFERROR(INDEX(Menu!$B$2:$B$500, MATCH(197, Menu!$H$2:$H$500, 0)),"")</f>
        <v/>
      </c>
      <c r="C198" t="str">
        <f>IFERROR(INDEX(Menu!$B$2:$B$500, MATCH(197, Menu!$I$2:$I$500, 0)),"")</f>
        <v/>
      </c>
      <c r="D198" t="str">
        <f>IFERROR(INDEX(Menu!$B$2:$B$500, MATCH(197, Menu!$J$2:$J$500, 0)),"")</f>
        <v/>
      </c>
      <c r="E198" t="str">
        <f>IFERROR(INDEX(Menu!$B$2:$B$500, MATCH(197, Menu!$K$2:$K$500, 0)),"")</f>
        <v/>
      </c>
      <c r="F198" t="str">
        <f>IFERROR(INDEX(Menu!$B$2:$B$500, MATCH(197, Menu!$L$2:$L$500, 0)),"")</f>
        <v/>
      </c>
    </row>
    <row r="199" spans="1:6">
      <c r="A199" t="str">
        <f>IFERROR(INDEX(Menu!$B$2:$B$500, MATCH(198, Menu!$G$2:$G$500, 0)),"")</f>
        <v/>
      </c>
      <c r="B199" t="str">
        <f>IFERROR(INDEX(Menu!$B$2:$B$500, MATCH(198, Menu!$H$2:$H$500, 0)),"")</f>
        <v/>
      </c>
      <c r="C199" t="str">
        <f>IFERROR(INDEX(Menu!$B$2:$B$500, MATCH(198, Menu!$I$2:$I$500, 0)),"")</f>
        <v/>
      </c>
      <c r="D199" t="str">
        <f>IFERROR(INDEX(Menu!$B$2:$B$500, MATCH(198, Menu!$J$2:$J$500, 0)),"")</f>
        <v/>
      </c>
      <c r="E199" t="str">
        <f>IFERROR(INDEX(Menu!$B$2:$B$500, MATCH(198, Menu!$K$2:$K$500, 0)),"")</f>
        <v/>
      </c>
      <c r="F199" t="str">
        <f>IFERROR(INDEX(Menu!$B$2:$B$500, MATCH(198, Menu!$L$2:$L$500, 0)),"")</f>
        <v/>
      </c>
    </row>
    <row r="200" spans="1:6">
      <c r="A200" t="str">
        <f>IFERROR(INDEX(Menu!$B$2:$B$500, MATCH(199, Menu!$G$2:$G$500, 0)),"")</f>
        <v/>
      </c>
      <c r="B200" t="str">
        <f>IFERROR(INDEX(Menu!$B$2:$B$500, MATCH(199, Menu!$H$2:$H$500, 0)),"")</f>
        <v/>
      </c>
      <c r="C200" t="str">
        <f>IFERROR(INDEX(Menu!$B$2:$B$500, MATCH(199, Menu!$I$2:$I$500, 0)),"")</f>
        <v/>
      </c>
      <c r="D200" t="str">
        <f>IFERROR(INDEX(Menu!$B$2:$B$500, MATCH(199, Menu!$J$2:$J$500, 0)),"")</f>
        <v/>
      </c>
      <c r="E200" t="str">
        <f>IFERROR(INDEX(Menu!$B$2:$B$500, MATCH(199, Menu!$K$2:$K$500, 0)),"")</f>
        <v/>
      </c>
      <c r="F200" t="str">
        <f>IFERROR(INDEX(Menu!$B$2:$B$500, MATCH(199, Menu!$L$2:$L$500, 0)),"")</f>
        <v/>
      </c>
    </row>
    <row r="201" spans="1:6">
      <c r="A201" t="str">
        <f>IFERROR(INDEX(Menu!$B$2:$B$500, MATCH(200, Menu!$G$2:$G$500, 0)),"")</f>
        <v/>
      </c>
      <c r="B201" t="str">
        <f>IFERROR(INDEX(Menu!$B$2:$B$500, MATCH(200, Menu!$H$2:$H$500, 0)),"")</f>
        <v/>
      </c>
      <c r="C201" t="str">
        <f>IFERROR(INDEX(Menu!$B$2:$B$500, MATCH(200, Menu!$I$2:$I$500, 0)),"")</f>
        <v/>
      </c>
      <c r="D201" t="str">
        <f>IFERROR(INDEX(Menu!$B$2:$B$500, MATCH(200, Menu!$J$2:$J$500, 0)),"")</f>
        <v/>
      </c>
      <c r="E201" t="str">
        <f>IFERROR(INDEX(Menu!$B$2:$B$500, MATCH(200, Menu!$K$2:$K$500, 0)),"")</f>
        <v/>
      </c>
      <c r="F201" t="str">
        <f>IFERROR(INDEX(Menu!$B$2:$B$500, MATCH(200, Menu!$L$2:$L$500, 0)),"")</f>
        <v/>
      </c>
    </row>
    <row r="202" spans="1:6">
      <c r="A202" t="str">
        <f>IFERROR(INDEX(Menu!$B$2:$B$500, MATCH(201, Menu!$G$2:$G$500, 0)),"")</f>
        <v/>
      </c>
      <c r="B202" t="str">
        <f>IFERROR(INDEX(Menu!$B$2:$B$500, MATCH(201, Menu!$H$2:$H$500, 0)),"")</f>
        <v/>
      </c>
      <c r="C202" t="str">
        <f>IFERROR(INDEX(Menu!$B$2:$B$500, MATCH(201, Menu!$I$2:$I$500, 0)),"")</f>
        <v/>
      </c>
      <c r="D202" t="str">
        <f>IFERROR(INDEX(Menu!$B$2:$B$500, MATCH(201, Menu!$J$2:$J$500, 0)),"")</f>
        <v/>
      </c>
      <c r="E202" t="str">
        <f>IFERROR(INDEX(Menu!$B$2:$B$500, MATCH(201, Menu!$K$2:$K$500, 0)),"")</f>
        <v/>
      </c>
      <c r="F202" t="str">
        <f>IFERROR(INDEX(Menu!$B$2:$B$500, MATCH(201, Menu!$L$2:$L$500, 0)),"")</f>
        <v/>
      </c>
    </row>
    <row r="203" spans="1:6">
      <c r="A203" t="str">
        <f>IFERROR(INDEX(Menu!$B$2:$B$500, MATCH(202, Menu!$G$2:$G$500, 0)),"")</f>
        <v/>
      </c>
      <c r="B203" t="str">
        <f>IFERROR(INDEX(Menu!$B$2:$B$500, MATCH(202, Menu!$H$2:$H$500, 0)),"")</f>
        <v/>
      </c>
      <c r="C203" t="str">
        <f>IFERROR(INDEX(Menu!$B$2:$B$500, MATCH(202, Menu!$I$2:$I$500, 0)),"")</f>
        <v/>
      </c>
      <c r="D203" t="str">
        <f>IFERROR(INDEX(Menu!$B$2:$B$500, MATCH(202, Menu!$J$2:$J$500, 0)),"")</f>
        <v/>
      </c>
      <c r="E203" t="str">
        <f>IFERROR(INDEX(Menu!$B$2:$B$500, MATCH(202, Menu!$K$2:$K$500, 0)),"")</f>
        <v/>
      </c>
      <c r="F203" t="str">
        <f>IFERROR(INDEX(Menu!$B$2:$B$500, MATCH(202, Menu!$L$2:$L$500, 0)),"")</f>
        <v/>
      </c>
    </row>
    <row r="204" spans="1:6">
      <c r="A204" t="str">
        <f>IFERROR(INDEX(Menu!$B$2:$B$500, MATCH(203, Menu!$G$2:$G$500, 0)),"")</f>
        <v/>
      </c>
      <c r="B204" t="str">
        <f>IFERROR(INDEX(Menu!$B$2:$B$500, MATCH(203, Menu!$H$2:$H$500, 0)),"")</f>
        <v/>
      </c>
      <c r="C204" t="str">
        <f>IFERROR(INDEX(Menu!$B$2:$B$500, MATCH(203, Menu!$I$2:$I$500, 0)),"")</f>
        <v/>
      </c>
      <c r="D204" t="str">
        <f>IFERROR(INDEX(Menu!$B$2:$B$500, MATCH(203, Menu!$J$2:$J$500, 0)),"")</f>
        <v/>
      </c>
      <c r="E204" t="str">
        <f>IFERROR(INDEX(Menu!$B$2:$B$500, MATCH(203, Menu!$K$2:$K$500, 0)),"")</f>
        <v/>
      </c>
      <c r="F204" t="str">
        <f>IFERROR(INDEX(Menu!$B$2:$B$500, MATCH(203, Menu!$L$2:$L$500, 0)),"")</f>
        <v/>
      </c>
    </row>
    <row r="205" spans="1:6">
      <c r="A205" t="str">
        <f>IFERROR(INDEX(Menu!$B$2:$B$500, MATCH(204, Menu!$G$2:$G$500, 0)),"")</f>
        <v/>
      </c>
      <c r="B205" t="str">
        <f>IFERROR(INDEX(Menu!$B$2:$B$500, MATCH(204, Menu!$H$2:$H$500, 0)),"")</f>
        <v/>
      </c>
      <c r="C205" t="str">
        <f>IFERROR(INDEX(Menu!$B$2:$B$500, MATCH(204, Menu!$I$2:$I$500, 0)),"")</f>
        <v/>
      </c>
      <c r="D205" t="str">
        <f>IFERROR(INDEX(Menu!$B$2:$B$500, MATCH(204, Menu!$J$2:$J$500, 0)),"")</f>
        <v/>
      </c>
      <c r="E205" t="str">
        <f>IFERROR(INDEX(Menu!$B$2:$B$500, MATCH(204, Menu!$K$2:$K$500, 0)),"")</f>
        <v/>
      </c>
      <c r="F205" t="str">
        <f>IFERROR(INDEX(Menu!$B$2:$B$500, MATCH(204, Menu!$L$2:$L$500, 0)),"")</f>
        <v/>
      </c>
    </row>
    <row r="206" spans="1:6">
      <c r="A206" t="str">
        <f>IFERROR(INDEX(Menu!$B$2:$B$500, MATCH(205, Menu!$G$2:$G$500, 0)),"")</f>
        <v/>
      </c>
      <c r="B206" t="str">
        <f>IFERROR(INDEX(Menu!$B$2:$B$500, MATCH(205, Menu!$H$2:$H$500, 0)),"")</f>
        <v/>
      </c>
      <c r="C206" t="str">
        <f>IFERROR(INDEX(Menu!$B$2:$B$500, MATCH(205, Menu!$I$2:$I$500, 0)),"")</f>
        <v/>
      </c>
      <c r="D206" t="str">
        <f>IFERROR(INDEX(Menu!$B$2:$B$500, MATCH(205, Menu!$J$2:$J$500, 0)),"")</f>
        <v/>
      </c>
      <c r="E206" t="str">
        <f>IFERROR(INDEX(Menu!$B$2:$B$500, MATCH(205, Menu!$K$2:$K$500, 0)),"")</f>
        <v/>
      </c>
      <c r="F206" t="str">
        <f>IFERROR(INDEX(Menu!$B$2:$B$500, MATCH(205, Menu!$L$2:$L$500, 0)),"")</f>
        <v/>
      </c>
    </row>
    <row r="207" spans="1:6">
      <c r="A207" t="str">
        <f>IFERROR(INDEX(Menu!$B$2:$B$500, MATCH(206, Menu!$G$2:$G$500, 0)),"")</f>
        <v/>
      </c>
      <c r="B207" t="str">
        <f>IFERROR(INDEX(Menu!$B$2:$B$500, MATCH(206, Menu!$H$2:$H$500, 0)),"")</f>
        <v/>
      </c>
      <c r="C207" t="str">
        <f>IFERROR(INDEX(Menu!$B$2:$B$500, MATCH(206, Menu!$I$2:$I$500, 0)),"")</f>
        <v/>
      </c>
      <c r="D207" t="str">
        <f>IFERROR(INDEX(Menu!$B$2:$B$500, MATCH(206, Menu!$J$2:$J$500, 0)),"")</f>
        <v/>
      </c>
      <c r="E207" t="str">
        <f>IFERROR(INDEX(Menu!$B$2:$B$500, MATCH(206, Menu!$K$2:$K$500, 0)),"")</f>
        <v/>
      </c>
      <c r="F207" t="str">
        <f>IFERROR(INDEX(Menu!$B$2:$B$500, MATCH(206, Menu!$L$2:$L$500, 0)),"")</f>
        <v/>
      </c>
    </row>
    <row r="208" spans="1:6">
      <c r="A208" t="str">
        <f>IFERROR(INDEX(Menu!$B$2:$B$500, MATCH(207, Menu!$G$2:$G$500, 0)),"")</f>
        <v/>
      </c>
      <c r="B208" t="str">
        <f>IFERROR(INDEX(Menu!$B$2:$B$500, MATCH(207, Menu!$H$2:$H$500, 0)),"")</f>
        <v/>
      </c>
      <c r="C208" t="str">
        <f>IFERROR(INDEX(Menu!$B$2:$B$500, MATCH(207, Menu!$I$2:$I$500, 0)),"")</f>
        <v/>
      </c>
      <c r="D208" t="str">
        <f>IFERROR(INDEX(Menu!$B$2:$B$500, MATCH(207, Menu!$J$2:$J$500, 0)),"")</f>
        <v/>
      </c>
      <c r="E208" t="str">
        <f>IFERROR(INDEX(Menu!$B$2:$B$500, MATCH(207, Menu!$K$2:$K$500, 0)),"")</f>
        <v/>
      </c>
      <c r="F208" t="str">
        <f>IFERROR(INDEX(Menu!$B$2:$B$500, MATCH(207, Menu!$L$2:$L$500, 0)),"")</f>
        <v/>
      </c>
    </row>
    <row r="209" spans="1:6">
      <c r="A209" t="str">
        <f>IFERROR(INDEX(Menu!$B$2:$B$500, MATCH(208, Menu!$G$2:$G$500, 0)),"")</f>
        <v/>
      </c>
      <c r="B209" t="str">
        <f>IFERROR(INDEX(Menu!$B$2:$B$500, MATCH(208, Menu!$H$2:$H$500, 0)),"")</f>
        <v/>
      </c>
      <c r="C209" t="str">
        <f>IFERROR(INDEX(Menu!$B$2:$B$500, MATCH(208, Menu!$I$2:$I$500, 0)),"")</f>
        <v/>
      </c>
      <c r="D209" t="str">
        <f>IFERROR(INDEX(Menu!$B$2:$B$500, MATCH(208, Menu!$J$2:$J$500, 0)),"")</f>
        <v/>
      </c>
      <c r="E209" t="str">
        <f>IFERROR(INDEX(Menu!$B$2:$B$500, MATCH(208, Menu!$K$2:$K$500, 0)),"")</f>
        <v/>
      </c>
      <c r="F209" t="str">
        <f>IFERROR(INDEX(Menu!$B$2:$B$500, MATCH(208, Menu!$L$2:$L$500, 0)),"")</f>
        <v/>
      </c>
    </row>
    <row r="210" spans="1:6">
      <c r="A210" t="str">
        <f>IFERROR(INDEX(Menu!$B$2:$B$500, MATCH(209, Menu!$G$2:$G$500, 0)),"")</f>
        <v/>
      </c>
      <c r="B210" t="str">
        <f>IFERROR(INDEX(Menu!$B$2:$B$500, MATCH(209, Menu!$H$2:$H$500, 0)),"")</f>
        <v/>
      </c>
      <c r="C210" t="str">
        <f>IFERROR(INDEX(Menu!$B$2:$B$500, MATCH(209, Menu!$I$2:$I$500, 0)),"")</f>
        <v/>
      </c>
      <c r="D210" t="str">
        <f>IFERROR(INDEX(Menu!$B$2:$B$500, MATCH(209, Menu!$J$2:$J$500, 0)),"")</f>
        <v/>
      </c>
      <c r="E210" t="str">
        <f>IFERROR(INDEX(Menu!$B$2:$B$500, MATCH(209, Menu!$K$2:$K$500, 0)),"")</f>
        <v/>
      </c>
      <c r="F210" t="str">
        <f>IFERROR(INDEX(Menu!$B$2:$B$500, MATCH(209, Menu!$L$2:$L$500, 0)),"")</f>
        <v/>
      </c>
    </row>
    <row r="211" spans="1:6">
      <c r="A211" t="str">
        <f>IFERROR(INDEX(Menu!$B$2:$B$500, MATCH(210, Menu!$G$2:$G$500, 0)),"")</f>
        <v/>
      </c>
      <c r="B211" t="str">
        <f>IFERROR(INDEX(Menu!$B$2:$B$500, MATCH(210, Menu!$H$2:$H$500, 0)),"")</f>
        <v/>
      </c>
      <c r="C211" t="str">
        <f>IFERROR(INDEX(Menu!$B$2:$B$500, MATCH(210, Menu!$I$2:$I$500, 0)),"")</f>
        <v/>
      </c>
      <c r="D211" t="str">
        <f>IFERROR(INDEX(Menu!$B$2:$B$500, MATCH(210, Menu!$J$2:$J$500, 0)),"")</f>
        <v/>
      </c>
      <c r="E211" t="str">
        <f>IFERROR(INDEX(Menu!$B$2:$B$500, MATCH(210, Menu!$K$2:$K$500, 0)),"")</f>
        <v/>
      </c>
      <c r="F211" t="str">
        <f>IFERROR(INDEX(Menu!$B$2:$B$500, MATCH(210, Menu!$L$2:$L$500, 0)),"")</f>
        <v/>
      </c>
    </row>
    <row r="212" spans="1:6">
      <c r="A212" t="str">
        <f>IFERROR(INDEX(Menu!$B$2:$B$500, MATCH(211, Menu!$G$2:$G$500, 0)),"")</f>
        <v/>
      </c>
      <c r="B212" t="str">
        <f>IFERROR(INDEX(Menu!$B$2:$B$500, MATCH(211, Menu!$H$2:$H$500, 0)),"")</f>
        <v/>
      </c>
      <c r="C212" t="str">
        <f>IFERROR(INDEX(Menu!$B$2:$B$500, MATCH(211, Menu!$I$2:$I$500, 0)),"")</f>
        <v/>
      </c>
      <c r="D212" t="str">
        <f>IFERROR(INDEX(Menu!$B$2:$B$500, MATCH(211, Menu!$J$2:$J$500, 0)),"")</f>
        <v/>
      </c>
      <c r="E212" t="str">
        <f>IFERROR(INDEX(Menu!$B$2:$B$500, MATCH(211, Menu!$K$2:$K$500, 0)),"")</f>
        <v/>
      </c>
      <c r="F212" t="str">
        <f>IFERROR(INDEX(Menu!$B$2:$B$500, MATCH(211, Menu!$L$2:$L$500, 0)),"")</f>
        <v/>
      </c>
    </row>
    <row r="213" spans="1:6">
      <c r="A213" t="str">
        <f>IFERROR(INDEX(Menu!$B$2:$B$500, MATCH(212, Menu!$G$2:$G$500, 0)),"")</f>
        <v/>
      </c>
      <c r="B213" t="str">
        <f>IFERROR(INDEX(Menu!$B$2:$B$500, MATCH(212, Menu!$H$2:$H$500, 0)),"")</f>
        <v/>
      </c>
      <c r="C213" t="str">
        <f>IFERROR(INDEX(Menu!$B$2:$B$500, MATCH(212, Menu!$I$2:$I$500, 0)),"")</f>
        <v/>
      </c>
      <c r="D213" t="str">
        <f>IFERROR(INDEX(Menu!$B$2:$B$500, MATCH(212, Menu!$J$2:$J$500, 0)),"")</f>
        <v/>
      </c>
      <c r="E213" t="str">
        <f>IFERROR(INDEX(Menu!$B$2:$B$500, MATCH(212, Menu!$K$2:$K$500, 0)),"")</f>
        <v/>
      </c>
      <c r="F213" t="str">
        <f>IFERROR(INDEX(Menu!$B$2:$B$500, MATCH(212, Menu!$L$2:$L$500, 0)),"")</f>
        <v/>
      </c>
    </row>
    <row r="214" spans="1:6">
      <c r="A214" t="str">
        <f>IFERROR(INDEX(Menu!$B$2:$B$500, MATCH(213, Menu!$G$2:$G$500, 0)),"")</f>
        <v/>
      </c>
      <c r="B214" t="str">
        <f>IFERROR(INDEX(Menu!$B$2:$B$500, MATCH(213, Menu!$H$2:$H$500, 0)),"")</f>
        <v/>
      </c>
      <c r="C214" t="str">
        <f>IFERROR(INDEX(Menu!$B$2:$B$500, MATCH(213, Menu!$I$2:$I$500, 0)),"")</f>
        <v/>
      </c>
      <c r="D214" t="str">
        <f>IFERROR(INDEX(Menu!$B$2:$B$500, MATCH(213, Menu!$J$2:$J$500, 0)),"")</f>
        <v/>
      </c>
      <c r="E214" t="str">
        <f>IFERROR(INDEX(Menu!$B$2:$B$500, MATCH(213, Menu!$K$2:$K$500, 0)),"")</f>
        <v/>
      </c>
      <c r="F214" t="str">
        <f>IFERROR(INDEX(Menu!$B$2:$B$500, MATCH(213, Menu!$L$2:$L$500, 0)),"")</f>
        <v/>
      </c>
    </row>
    <row r="215" spans="1:6">
      <c r="A215" t="str">
        <f>IFERROR(INDEX(Menu!$B$2:$B$500, MATCH(214, Menu!$G$2:$G$500, 0)),"")</f>
        <v/>
      </c>
      <c r="B215" t="str">
        <f>IFERROR(INDEX(Menu!$B$2:$B$500, MATCH(214, Menu!$H$2:$H$500, 0)),"")</f>
        <v/>
      </c>
      <c r="C215" t="str">
        <f>IFERROR(INDEX(Menu!$B$2:$B$500, MATCH(214, Menu!$I$2:$I$500, 0)),"")</f>
        <v/>
      </c>
      <c r="D215" t="str">
        <f>IFERROR(INDEX(Menu!$B$2:$B$500, MATCH(214, Menu!$J$2:$J$500, 0)),"")</f>
        <v/>
      </c>
      <c r="E215" t="str">
        <f>IFERROR(INDEX(Menu!$B$2:$B$500, MATCH(214, Menu!$K$2:$K$500, 0)),"")</f>
        <v/>
      </c>
      <c r="F215" t="str">
        <f>IFERROR(INDEX(Menu!$B$2:$B$500, MATCH(214, Menu!$L$2:$L$500, 0)),"")</f>
        <v/>
      </c>
    </row>
    <row r="216" spans="1:6">
      <c r="A216" t="str">
        <f>IFERROR(INDEX(Menu!$B$2:$B$500, MATCH(215, Menu!$G$2:$G$500, 0)),"")</f>
        <v/>
      </c>
      <c r="B216" t="str">
        <f>IFERROR(INDEX(Menu!$B$2:$B$500, MATCH(215, Menu!$H$2:$H$500, 0)),"")</f>
        <v/>
      </c>
      <c r="C216" t="str">
        <f>IFERROR(INDEX(Menu!$B$2:$B$500, MATCH(215, Menu!$I$2:$I$500, 0)),"")</f>
        <v/>
      </c>
      <c r="D216" t="str">
        <f>IFERROR(INDEX(Menu!$B$2:$B$500, MATCH(215, Menu!$J$2:$J$500, 0)),"")</f>
        <v/>
      </c>
      <c r="E216" t="str">
        <f>IFERROR(INDEX(Menu!$B$2:$B$500, MATCH(215, Menu!$K$2:$K$500, 0)),"")</f>
        <v/>
      </c>
      <c r="F216" t="str">
        <f>IFERROR(INDEX(Menu!$B$2:$B$500, MATCH(215, Menu!$L$2:$L$500, 0)),"")</f>
        <v/>
      </c>
    </row>
    <row r="217" spans="1:6">
      <c r="A217" t="str">
        <f>IFERROR(INDEX(Menu!$B$2:$B$500, MATCH(216, Menu!$G$2:$G$500, 0)),"")</f>
        <v/>
      </c>
      <c r="B217" t="str">
        <f>IFERROR(INDEX(Menu!$B$2:$B$500, MATCH(216, Menu!$H$2:$H$500, 0)),"")</f>
        <v/>
      </c>
      <c r="C217" t="str">
        <f>IFERROR(INDEX(Menu!$B$2:$B$500, MATCH(216, Menu!$I$2:$I$500, 0)),"")</f>
        <v/>
      </c>
      <c r="D217" t="str">
        <f>IFERROR(INDEX(Menu!$B$2:$B$500, MATCH(216, Menu!$J$2:$J$500, 0)),"")</f>
        <v/>
      </c>
      <c r="E217" t="str">
        <f>IFERROR(INDEX(Menu!$B$2:$B$500, MATCH(216, Menu!$K$2:$K$500, 0)),"")</f>
        <v/>
      </c>
      <c r="F217" t="str">
        <f>IFERROR(INDEX(Menu!$B$2:$B$500, MATCH(216, Menu!$L$2:$L$500, 0)),"")</f>
        <v/>
      </c>
    </row>
    <row r="218" spans="1:6">
      <c r="A218" t="str">
        <f>IFERROR(INDEX(Menu!$B$2:$B$500, MATCH(217, Menu!$G$2:$G$500, 0)),"")</f>
        <v/>
      </c>
      <c r="B218" t="str">
        <f>IFERROR(INDEX(Menu!$B$2:$B$500, MATCH(217, Menu!$H$2:$H$500, 0)),"")</f>
        <v/>
      </c>
      <c r="C218" t="str">
        <f>IFERROR(INDEX(Menu!$B$2:$B$500, MATCH(217, Menu!$I$2:$I$500, 0)),"")</f>
        <v/>
      </c>
      <c r="D218" t="str">
        <f>IFERROR(INDEX(Menu!$B$2:$B$500, MATCH(217, Menu!$J$2:$J$500, 0)),"")</f>
        <v/>
      </c>
      <c r="E218" t="str">
        <f>IFERROR(INDEX(Menu!$B$2:$B$500, MATCH(217, Menu!$K$2:$K$500, 0)),"")</f>
        <v/>
      </c>
      <c r="F218" t="str">
        <f>IFERROR(INDEX(Menu!$B$2:$B$500, MATCH(217, Menu!$L$2:$L$500, 0)),"")</f>
        <v/>
      </c>
    </row>
    <row r="219" spans="1:6">
      <c r="A219" t="str">
        <f>IFERROR(INDEX(Menu!$B$2:$B$500, MATCH(218, Menu!$G$2:$G$500, 0)),"")</f>
        <v/>
      </c>
      <c r="B219" t="str">
        <f>IFERROR(INDEX(Menu!$B$2:$B$500, MATCH(218, Menu!$H$2:$H$500, 0)),"")</f>
        <v/>
      </c>
      <c r="C219" t="str">
        <f>IFERROR(INDEX(Menu!$B$2:$B$500, MATCH(218, Menu!$I$2:$I$500, 0)),"")</f>
        <v/>
      </c>
      <c r="D219" t="str">
        <f>IFERROR(INDEX(Menu!$B$2:$B$500, MATCH(218, Menu!$J$2:$J$500, 0)),"")</f>
        <v/>
      </c>
      <c r="E219" t="str">
        <f>IFERROR(INDEX(Menu!$B$2:$B$500, MATCH(218, Menu!$K$2:$K$500, 0)),"")</f>
        <v/>
      </c>
      <c r="F219" t="str">
        <f>IFERROR(INDEX(Menu!$B$2:$B$500, MATCH(218, Menu!$L$2:$L$500, 0)),"")</f>
        <v/>
      </c>
    </row>
    <row r="220" spans="1:6">
      <c r="A220" t="str">
        <f>IFERROR(INDEX(Menu!$B$2:$B$500, MATCH(219, Menu!$G$2:$G$500, 0)),"")</f>
        <v/>
      </c>
      <c r="B220" t="str">
        <f>IFERROR(INDEX(Menu!$B$2:$B$500, MATCH(219, Menu!$H$2:$H$500, 0)),"")</f>
        <v/>
      </c>
      <c r="C220" t="str">
        <f>IFERROR(INDEX(Menu!$B$2:$B$500, MATCH(219, Menu!$I$2:$I$500, 0)),"")</f>
        <v/>
      </c>
      <c r="D220" t="str">
        <f>IFERROR(INDEX(Menu!$B$2:$B$500, MATCH(219, Menu!$J$2:$J$500, 0)),"")</f>
        <v/>
      </c>
      <c r="E220" t="str">
        <f>IFERROR(INDEX(Menu!$B$2:$B$500, MATCH(219, Menu!$K$2:$K$500, 0)),"")</f>
        <v/>
      </c>
      <c r="F220" t="str">
        <f>IFERROR(INDEX(Menu!$B$2:$B$500, MATCH(219, Menu!$L$2:$L$500, 0)),"")</f>
        <v/>
      </c>
    </row>
    <row r="221" spans="1:6">
      <c r="A221" t="str">
        <f>IFERROR(INDEX(Menu!$B$2:$B$500, MATCH(220, Menu!$G$2:$G$500, 0)),"")</f>
        <v/>
      </c>
      <c r="B221" t="str">
        <f>IFERROR(INDEX(Menu!$B$2:$B$500, MATCH(220, Menu!$H$2:$H$500, 0)),"")</f>
        <v/>
      </c>
      <c r="C221" t="str">
        <f>IFERROR(INDEX(Menu!$B$2:$B$500, MATCH(220, Menu!$I$2:$I$500, 0)),"")</f>
        <v/>
      </c>
      <c r="D221" t="str">
        <f>IFERROR(INDEX(Menu!$B$2:$B$500, MATCH(220, Menu!$J$2:$J$500, 0)),"")</f>
        <v/>
      </c>
      <c r="E221" t="str">
        <f>IFERROR(INDEX(Menu!$B$2:$B$500, MATCH(220, Menu!$K$2:$K$500, 0)),"")</f>
        <v/>
      </c>
      <c r="F221" t="str">
        <f>IFERROR(INDEX(Menu!$B$2:$B$500, MATCH(220, Menu!$L$2:$L$500, 0)),"")</f>
        <v/>
      </c>
    </row>
    <row r="222" spans="1:6">
      <c r="A222" t="str">
        <f>IFERROR(INDEX(Menu!$B$2:$B$500, MATCH(221, Menu!$G$2:$G$500, 0)),"")</f>
        <v/>
      </c>
      <c r="B222" t="str">
        <f>IFERROR(INDEX(Menu!$B$2:$B$500, MATCH(221, Menu!$H$2:$H$500, 0)),"")</f>
        <v/>
      </c>
      <c r="C222" t="str">
        <f>IFERROR(INDEX(Menu!$B$2:$B$500, MATCH(221, Menu!$I$2:$I$500, 0)),"")</f>
        <v/>
      </c>
      <c r="D222" t="str">
        <f>IFERROR(INDEX(Menu!$B$2:$B$500, MATCH(221, Menu!$J$2:$J$500, 0)),"")</f>
        <v/>
      </c>
      <c r="E222" t="str">
        <f>IFERROR(INDEX(Menu!$B$2:$B$500, MATCH(221, Menu!$K$2:$K$500, 0)),"")</f>
        <v/>
      </c>
      <c r="F222" t="str">
        <f>IFERROR(INDEX(Menu!$B$2:$B$500, MATCH(221, Menu!$L$2:$L$500, 0)),"")</f>
        <v/>
      </c>
    </row>
    <row r="223" spans="1:6">
      <c r="A223" t="str">
        <f>IFERROR(INDEX(Menu!$B$2:$B$500, MATCH(222, Menu!$G$2:$G$500, 0)),"")</f>
        <v/>
      </c>
      <c r="B223" t="str">
        <f>IFERROR(INDEX(Menu!$B$2:$B$500, MATCH(222, Menu!$H$2:$H$500, 0)),"")</f>
        <v/>
      </c>
      <c r="C223" t="str">
        <f>IFERROR(INDEX(Menu!$B$2:$B$500, MATCH(222, Menu!$I$2:$I$500, 0)),"")</f>
        <v/>
      </c>
      <c r="D223" t="str">
        <f>IFERROR(INDEX(Menu!$B$2:$B$500, MATCH(222, Menu!$J$2:$J$500, 0)),"")</f>
        <v/>
      </c>
      <c r="E223" t="str">
        <f>IFERROR(INDEX(Menu!$B$2:$B$500, MATCH(222, Menu!$K$2:$K$500, 0)),"")</f>
        <v/>
      </c>
      <c r="F223" t="str">
        <f>IFERROR(INDEX(Menu!$B$2:$B$500, MATCH(222, Menu!$L$2:$L$500, 0)),"")</f>
        <v/>
      </c>
    </row>
    <row r="224" spans="1:6">
      <c r="A224" t="str">
        <f>IFERROR(INDEX(Menu!$B$2:$B$500, MATCH(223, Menu!$G$2:$G$500, 0)),"")</f>
        <v/>
      </c>
      <c r="B224" t="str">
        <f>IFERROR(INDEX(Menu!$B$2:$B$500, MATCH(223, Menu!$H$2:$H$500, 0)),"")</f>
        <v/>
      </c>
      <c r="C224" t="str">
        <f>IFERROR(INDEX(Menu!$B$2:$B$500, MATCH(223, Menu!$I$2:$I$500, 0)),"")</f>
        <v/>
      </c>
      <c r="D224" t="str">
        <f>IFERROR(INDEX(Menu!$B$2:$B$500, MATCH(223, Menu!$J$2:$J$500, 0)),"")</f>
        <v/>
      </c>
      <c r="E224" t="str">
        <f>IFERROR(INDEX(Menu!$B$2:$B$500, MATCH(223, Menu!$K$2:$K$500, 0)),"")</f>
        <v/>
      </c>
      <c r="F224" t="str">
        <f>IFERROR(INDEX(Menu!$B$2:$B$500, MATCH(223, Menu!$L$2:$L$500, 0)),"")</f>
        <v/>
      </c>
    </row>
    <row r="225" spans="1:6">
      <c r="A225" t="str">
        <f>IFERROR(INDEX(Menu!$B$2:$B$500, MATCH(224, Menu!$G$2:$G$500, 0)),"")</f>
        <v/>
      </c>
      <c r="B225" t="str">
        <f>IFERROR(INDEX(Menu!$B$2:$B$500, MATCH(224, Menu!$H$2:$H$500, 0)),"")</f>
        <v/>
      </c>
      <c r="C225" t="str">
        <f>IFERROR(INDEX(Menu!$B$2:$B$500, MATCH(224, Menu!$I$2:$I$500, 0)),"")</f>
        <v/>
      </c>
      <c r="D225" t="str">
        <f>IFERROR(INDEX(Menu!$B$2:$B$500, MATCH(224, Menu!$J$2:$J$500, 0)),"")</f>
        <v/>
      </c>
      <c r="E225" t="str">
        <f>IFERROR(INDEX(Menu!$B$2:$B$500, MATCH(224, Menu!$K$2:$K$500, 0)),"")</f>
        <v/>
      </c>
      <c r="F225" t="str">
        <f>IFERROR(INDEX(Menu!$B$2:$B$500, MATCH(224, Menu!$L$2:$L$500, 0)),"")</f>
        <v/>
      </c>
    </row>
    <row r="226" spans="1:6">
      <c r="A226" t="str">
        <f>IFERROR(INDEX(Menu!$B$2:$B$500, MATCH(225, Menu!$G$2:$G$500, 0)),"")</f>
        <v/>
      </c>
      <c r="B226" t="str">
        <f>IFERROR(INDEX(Menu!$B$2:$B$500, MATCH(225, Menu!$H$2:$H$500, 0)),"")</f>
        <v/>
      </c>
      <c r="C226" t="str">
        <f>IFERROR(INDEX(Menu!$B$2:$B$500, MATCH(225, Menu!$I$2:$I$500, 0)),"")</f>
        <v/>
      </c>
      <c r="D226" t="str">
        <f>IFERROR(INDEX(Menu!$B$2:$B$500, MATCH(225, Menu!$J$2:$J$500, 0)),"")</f>
        <v/>
      </c>
      <c r="E226" t="str">
        <f>IFERROR(INDEX(Menu!$B$2:$B$500, MATCH(225, Menu!$K$2:$K$500, 0)),"")</f>
        <v/>
      </c>
      <c r="F226" t="str">
        <f>IFERROR(INDEX(Menu!$B$2:$B$500, MATCH(225, Menu!$L$2:$L$500, 0)),"")</f>
        <v/>
      </c>
    </row>
    <row r="227" spans="1:6">
      <c r="A227" t="str">
        <f>IFERROR(INDEX(Menu!$B$2:$B$500, MATCH(226, Menu!$G$2:$G$500, 0)),"")</f>
        <v/>
      </c>
      <c r="B227" t="str">
        <f>IFERROR(INDEX(Menu!$B$2:$B$500, MATCH(226, Menu!$H$2:$H$500, 0)),"")</f>
        <v/>
      </c>
      <c r="C227" t="str">
        <f>IFERROR(INDEX(Menu!$B$2:$B$500, MATCH(226, Menu!$I$2:$I$500, 0)),"")</f>
        <v/>
      </c>
      <c r="D227" t="str">
        <f>IFERROR(INDEX(Menu!$B$2:$B$500, MATCH(226, Menu!$J$2:$J$500, 0)),"")</f>
        <v/>
      </c>
      <c r="E227" t="str">
        <f>IFERROR(INDEX(Menu!$B$2:$B$500, MATCH(226, Menu!$K$2:$K$500, 0)),"")</f>
        <v/>
      </c>
      <c r="F227" t="str">
        <f>IFERROR(INDEX(Menu!$B$2:$B$500, MATCH(226, Menu!$L$2:$L$500, 0)),"")</f>
        <v/>
      </c>
    </row>
    <row r="228" spans="1:6">
      <c r="A228" t="str">
        <f>IFERROR(INDEX(Menu!$B$2:$B$500, MATCH(227, Menu!$G$2:$G$500, 0)),"")</f>
        <v/>
      </c>
      <c r="B228" t="str">
        <f>IFERROR(INDEX(Menu!$B$2:$B$500, MATCH(227, Menu!$H$2:$H$500, 0)),"")</f>
        <v/>
      </c>
      <c r="C228" t="str">
        <f>IFERROR(INDEX(Menu!$B$2:$B$500, MATCH(227, Menu!$I$2:$I$500, 0)),"")</f>
        <v/>
      </c>
      <c r="D228" t="str">
        <f>IFERROR(INDEX(Menu!$B$2:$B$500, MATCH(227, Menu!$J$2:$J$500, 0)),"")</f>
        <v/>
      </c>
      <c r="E228" t="str">
        <f>IFERROR(INDEX(Menu!$B$2:$B$500, MATCH(227, Menu!$K$2:$K$500, 0)),"")</f>
        <v/>
      </c>
      <c r="F228" t="str">
        <f>IFERROR(INDEX(Menu!$B$2:$B$500, MATCH(227, Menu!$L$2:$L$500, 0)),"")</f>
        <v/>
      </c>
    </row>
    <row r="229" spans="1:6">
      <c r="A229" t="str">
        <f>IFERROR(INDEX(Menu!$B$2:$B$500, MATCH(228, Menu!$G$2:$G$500, 0)),"")</f>
        <v/>
      </c>
      <c r="B229" t="str">
        <f>IFERROR(INDEX(Menu!$B$2:$B$500, MATCH(228, Menu!$H$2:$H$500, 0)),"")</f>
        <v/>
      </c>
      <c r="C229" t="str">
        <f>IFERROR(INDEX(Menu!$B$2:$B$500, MATCH(228, Menu!$I$2:$I$500, 0)),"")</f>
        <v/>
      </c>
      <c r="D229" t="str">
        <f>IFERROR(INDEX(Menu!$B$2:$B$500, MATCH(228, Menu!$J$2:$J$500, 0)),"")</f>
        <v/>
      </c>
      <c r="E229" t="str">
        <f>IFERROR(INDEX(Menu!$B$2:$B$500, MATCH(228, Menu!$K$2:$K$500, 0)),"")</f>
        <v/>
      </c>
      <c r="F229" t="str">
        <f>IFERROR(INDEX(Menu!$B$2:$B$500, MATCH(228, Menu!$L$2:$L$500, 0)),"")</f>
        <v/>
      </c>
    </row>
    <row r="230" spans="1:6">
      <c r="A230" t="str">
        <f>IFERROR(INDEX(Menu!$B$2:$B$500, MATCH(229, Menu!$G$2:$G$500, 0)),"")</f>
        <v/>
      </c>
      <c r="B230" t="str">
        <f>IFERROR(INDEX(Menu!$B$2:$B$500, MATCH(229, Menu!$H$2:$H$500, 0)),"")</f>
        <v/>
      </c>
      <c r="C230" t="str">
        <f>IFERROR(INDEX(Menu!$B$2:$B$500, MATCH(229, Menu!$I$2:$I$500, 0)),"")</f>
        <v/>
      </c>
      <c r="D230" t="str">
        <f>IFERROR(INDEX(Menu!$B$2:$B$500, MATCH(229, Menu!$J$2:$J$500, 0)),"")</f>
        <v/>
      </c>
      <c r="E230" t="str">
        <f>IFERROR(INDEX(Menu!$B$2:$B$500, MATCH(229, Menu!$K$2:$K$500, 0)),"")</f>
        <v/>
      </c>
      <c r="F230" t="str">
        <f>IFERROR(INDEX(Menu!$B$2:$B$500, MATCH(229, Menu!$L$2:$L$500, 0)),"")</f>
        <v/>
      </c>
    </row>
    <row r="231" spans="1:6">
      <c r="A231" t="str">
        <f>IFERROR(INDEX(Menu!$B$2:$B$500, MATCH(230, Menu!$G$2:$G$500, 0)),"")</f>
        <v/>
      </c>
      <c r="B231" t="str">
        <f>IFERROR(INDEX(Menu!$B$2:$B$500, MATCH(230, Menu!$H$2:$H$500, 0)),"")</f>
        <v/>
      </c>
      <c r="C231" t="str">
        <f>IFERROR(INDEX(Menu!$B$2:$B$500, MATCH(230, Menu!$I$2:$I$500, 0)),"")</f>
        <v/>
      </c>
      <c r="D231" t="str">
        <f>IFERROR(INDEX(Menu!$B$2:$B$500, MATCH(230, Menu!$J$2:$J$500, 0)),"")</f>
        <v/>
      </c>
      <c r="E231" t="str">
        <f>IFERROR(INDEX(Menu!$B$2:$B$500, MATCH(230, Menu!$K$2:$K$500, 0)),"")</f>
        <v/>
      </c>
      <c r="F231" t="str">
        <f>IFERROR(INDEX(Menu!$B$2:$B$500, MATCH(230, Menu!$L$2:$L$500, 0)),"")</f>
        <v/>
      </c>
    </row>
    <row r="232" spans="1:6">
      <c r="A232" t="str">
        <f>IFERROR(INDEX(Menu!$B$2:$B$500, MATCH(231, Menu!$G$2:$G$500, 0)),"")</f>
        <v/>
      </c>
      <c r="B232" t="str">
        <f>IFERROR(INDEX(Menu!$B$2:$B$500, MATCH(231, Menu!$H$2:$H$500, 0)),"")</f>
        <v/>
      </c>
      <c r="C232" t="str">
        <f>IFERROR(INDEX(Menu!$B$2:$B$500, MATCH(231, Menu!$I$2:$I$500, 0)),"")</f>
        <v/>
      </c>
      <c r="D232" t="str">
        <f>IFERROR(INDEX(Menu!$B$2:$B$500, MATCH(231, Menu!$J$2:$J$500, 0)),"")</f>
        <v/>
      </c>
      <c r="E232" t="str">
        <f>IFERROR(INDEX(Menu!$B$2:$B$500, MATCH(231, Menu!$K$2:$K$500, 0)),"")</f>
        <v/>
      </c>
      <c r="F232" t="str">
        <f>IFERROR(INDEX(Menu!$B$2:$B$500, MATCH(231, Menu!$L$2:$L$500, 0)),"")</f>
        <v/>
      </c>
    </row>
    <row r="233" spans="1:6">
      <c r="A233" t="str">
        <f>IFERROR(INDEX(Menu!$B$2:$B$500, MATCH(232, Menu!$G$2:$G$500, 0)),"")</f>
        <v/>
      </c>
      <c r="B233" t="str">
        <f>IFERROR(INDEX(Menu!$B$2:$B$500, MATCH(232, Menu!$H$2:$H$500, 0)),"")</f>
        <v/>
      </c>
      <c r="C233" t="str">
        <f>IFERROR(INDEX(Menu!$B$2:$B$500, MATCH(232, Menu!$I$2:$I$500, 0)),"")</f>
        <v/>
      </c>
      <c r="D233" t="str">
        <f>IFERROR(INDEX(Menu!$B$2:$B$500, MATCH(232, Menu!$J$2:$J$500, 0)),"")</f>
        <v/>
      </c>
      <c r="E233" t="str">
        <f>IFERROR(INDEX(Menu!$B$2:$B$500, MATCH(232, Menu!$K$2:$K$500, 0)),"")</f>
        <v/>
      </c>
      <c r="F233" t="str">
        <f>IFERROR(INDEX(Menu!$B$2:$B$500, MATCH(232, Menu!$L$2:$L$500, 0)),"")</f>
        <v/>
      </c>
    </row>
    <row r="234" spans="1:6">
      <c r="A234" t="str">
        <f>IFERROR(INDEX(Menu!$B$2:$B$500, MATCH(233, Menu!$G$2:$G$500, 0)),"")</f>
        <v/>
      </c>
      <c r="B234" t="str">
        <f>IFERROR(INDEX(Menu!$B$2:$B$500, MATCH(233, Menu!$H$2:$H$500, 0)),"")</f>
        <v/>
      </c>
      <c r="C234" t="str">
        <f>IFERROR(INDEX(Menu!$B$2:$B$500, MATCH(233, Menu!$I$2:$I$500, 0)),"")</f>
        <v/>
      </c>
      <c r="D234" t="str">
        <f>IFERROR(INDEX(Menu!$B$2:$B$500, MATCH(233, Menu!$J$2:$J$500, 0)),"")</f>
        <v/>
      </c>
      <c r="E234" t="str">
        <f>IFERROR(INDEX(Menu!$B$2:$B$500, MATCH(233, Menu!$K$2:$K$500, 0)),"")</f>
        <v/>
      </c>
      <c r="F234" t="str">
        <f>IFERROR(INDEX(Menu!$B$2:$B$500, MATCH(233, Menu!$L$2:$L$500, 0)),"")</f>
        <v/>
      </c>
    </row>
    <row r="235" spans="1:6">
      <c r="A235" t="str">
        <f>IFERROR(INDEX(Menu!$B$2:$B$500, MATCH(234, Menu!$G$2:$G$500, 0)),"")</f>
        <v/>
      </c>
      <c r="B235" t="str">
        <f>IFERROR(INDEX(Menu!$B$2:$B$500, MATCH(234, Menu!$H$2:$H$500, 0)),"")</f>
        <v/>
      </c>
      <c r="C235" t="str">
        <f>IFERROR(INDEX(Menu!$B$2:$B$500, MATCH(234, Menu!$I$2:$I$500, 0)),"")</f>
        <v/>
      </c>
      <c r="D235" t="str">
        <f>IFERROR(INDEX(Menu!$B$2:$B$500, MATCH(234, Menu!$J$2:$J$500, 0)),"")</f>
        <v/>
      </c>
      <c r="E235" t="str">
        <f>IFERROR(INDEX(Menu!$B$2:$B$500, MATCH(234, Menu!$K$2:$K$500, 0)),"")</f>
        <v/>
      </c>
      <c r="F235" t="str">
        <f>IFERROR(INDEX(Menu!$B$2:$B$500, MATCH(234, Menu!$L$2:$L$500, 0)),"")</f>
        <v/>
      </c>
    </row>
    <row r="236" spans="1:6">
      <c r="A236" t="str">
        <f>IFERROR(INDEX(Menu!$B$2:$B$500, MATCH(235, Menu!$G$2:$G$500, 0)),"")</f>
        <v/>
      </c>
      <c r="B236" t="str">
        <f>IFERROR(INDEX(Menu!$B$2:$B$500, MATCH(235, Menu!$H$2:$H$500, 0)),"")</f>
        <v/>
      </c>
      <c r="C236" t="str">
        <f>IFERROR(INDEX(Menu!$B$2:$B$500, MATCH(235, Menu!$I$2:$I$500, 0)),"")</f>
        <v/>
      </c>
      <c r="D236" t="str">
        <f>IFERROR(INDEX(Menu!$B$2:$B$500, MATCH(235, Menu!$J$2:$J$500, 0)),"")</f>
        <v/>
      </c>
      <c r="E236" t="str">
        <f>IFERROR(INDEX(Menu!$B$2:$B$500, MATCH(235, Menu!$K$2:$K$500, 0)),"")</f>
        <v/>
      </c>
      <c r="F236" t="str">
        <f>IFERROR(INDEX(Menu!$B$2:$B$500, MATCH(235, Menu!$L$2:$L$500, 0)),"")</f>
        <v/>
      </c>
    </row>
    <row r="237" spans="1:6">
      <c r="A237" t="str">
        <f>IFERROR(INDEX(Menu!$B$2:$B$500, MATCH(236, Menu!$G$2:$G$500, 0)),"")</f>
        <v/>
      </c>
      <c r="B237" t="str">
        <f>IFERROR(INDEX(Menu!$B$2:$B$500, MATCH(236, Menu!$H$2:$H$500, 0)),"")</f>
        <v/>
      </c>
      <c r="C237" t="str">
        <f>IFERROR(INDEX(Menu!$B$2:$B$500, MATCH(236, Menu!$I$2:$I$500, 0)),"")</f>
        <v/>
      </c>
      <c r="D237" t="str">
        <f>IFERROR(INDEX(Menu!$B$2:$B$500, MATCH(236, Menu!$J$2:$J$500, 0)),"")</f>
        <v/>
      </c>
      <c r="E237" t="str">
        <f>IFERROR(INDEX(Menu!$B$2:$B$500, MATCH(236, Menu!$K$2:$K$500, 0)),"")</f>
        <v/>
      </c>
      <c r="F237" t="str">
        <f>IFERROR(INDEX(Menu!$B$2:$B$500, MATCH(236, Menu!$L$2:$L$500, 0)),"")</f>
        <v/>
      </c>
    </row>
    <row r="238" spans="1:6">
      <c r="A238" t="str">
        <f>IFERROR(INDEX(Menu!$B$2:$B$500, MATCH(237, Menu!$G$2:$G$500, 0)),"")</f>
        <v/>
      </c>
      <c r="B238" t="str">
        <f>IFERROR(INDEX(Menu!$B$2:$B$500, MATCH(237, Menu!$H$2:$H$500, 0)),"")</f>
        <v/>
      </c>
      <c r="C238" t="str">
        <f>IFERROR(INDEX(Menu!$B$2:$B$500, MATCH(237, Menu!$I$2:$I$500, 0)),"")</f>
        <v/>
      </c>
      <c r="D238" t="str">
        <f>IFERROR(INDEX(Menu!$B$2:$B$500, MATCH(237, Menu!$J$2:$J$500, 0)),"")</f>
        <v/>
      </c>
      <c r="E238" t="str">
        <f>IFERROR(INDEX(Menu!$B$2:$B$500, MATCH(237, Menu!$K$2:$K$500, 0)),"")</f>
        <v/>
      </c>
      <c r="F238" t="str">
        <f>IFERROR(INDEX(Menu!$B$2:$B$500, MATCH(237, Menu!$L$2:$L$500, 0)),"")</f>
        <v/>
      </c>
    </row>
    <row r="239" spans="1:6">
      <c r="A239" t="str">
        <f>IFERROR(INDEX(Menu!$B$2:$B$500, MATCH(238, Menu!$G$2:$G$500, 0)),"")</f>
        <v/>
      </c>
      <c r="B239" t="str">
        <f>IFERROR(INDEX(Menu!$B$2:$B$500, MATCH(238, Menu!$H$2:$H$500, 0)),"")</f>
        <v/>
      </c>
      <c r="C239" t="str">
        <f>IFERROR(INDEX(Menu!$B$2:$B$500, MATCH(238, Menu!$I$2:$I$500, 0)),"")</f>
        <v/>
      </c>
      <c r="D239" t="str">
        <f>IFERROR(INDEX(Menu!$B$2:$B$500, MATCH(238, Menu!$J$2:$J$500, 0)),"")</f>
        <v/>
      </c>
      <c r="E239" t="str">
        <f>IFERROR(INDEX(Menu!$B$2:$B$500, MATCH(238, Menu!$K$2:$K$500, 0)),"")</f>
        <v/>
      </c>
      <c r="F239" t="str">
        <f>IFERROR(INDEX(Menu!$B$2:$B$500, MATCH(238, Menu!$L$2:$L$500, 0)),"")</f>
        <v/>
      </c>
    </row>
    <row r="240" spans="1:6">
      <c r="A240" t="str">
        <f>IFERROR(INDEX(Menu!$B$2:$B$500, MATCH(239, Menu!$G$2:$G$500, 0)),"")</f>
        <v/>
      </c>
      <c r="B240" t="str">
        <f>IFERROR(INDEX(Menu!$B$2:$B$500, MATCH(239, Menu!$H$2:$H$500, 0)),"")</f>
        <v/>
      </c>
      <c r="C240" t="str">
        <f>IFERROR(INDEX(Menu!$B$2:$B$500, MATCH(239, Menu!$I$2:$I$500, 0)),"")</f>
        <v/>
      </c>
      <c r="D240" t="str">
        <f>IFERROR(INDEX(Menu!$B$2:$B$500, MATCH(239, Menu!$J$2:$J$500, 0)),"")</f>
        <v/>
      </c>
      <c r="E240" t="str">
        <f>IFERROR(INDEX(Menu!$B$2:$B$500, MATCH(239, Menu!$K$2:$K$500, 0)),"")</f>
        <v/>
      </c>
      <c r="F240" t="str">
        <f>IFERROR(INDEX(Menu!$B$2:$B$500, MATCH(239, Menu!$L$2:$L$500, 0)),"")</f>
        <v/>
      </c>
    </row>
    <row r="241" spans="1:6">
      <c r="A241" t="str">
        <f>IFERROR(INDEX(Menu!$B$2:$B$500, MATCH(240, Menu!$G$2:$G$500, 0)),"")</f>
        <v/>
      </c>
      <c r="B241" t="str">
        <f>IFERROR(INDEX(Menu!$B$2:$B$500, MATCH(240, Menu!$H$2:$H$500, 0)),"")</f>
        <v/>
      </c>
      <c r="C241" t="str">
        <f>IFERROR(INDEX(Menu!$B$2:$B$500, MATCH(240, Menu!$I$2:$I$500, 0)),"")</f>
        <v/>
      </c>
      <c r="D241" t="str">
        <f>IFERROR(INDEX(Menu!$B$2:$B$500, MATCH(240, Menu!$J$2:$J$500, 0)),"")</f>
        <v/>
      </c>
      <c r="E241" t="str">
        <f>IFERROR(INDEX(Menu!$B$2:$B$500, MATCH(240, Menu!$K$2:$K$500, 0)),"")</f>
        <v/>
      </c>
      <c r="F241" t="str">
        <f>IFERROR(INDEX(Menu!$B$2:$B$500, MATCH(240, Menu!$L$2:$L$500, 0)),"")</f>
        <v/>
      </c>
    </row>
    <row r="242" spans="1:6">
      <c r="A242" t="str">
        <f>IFERROR(INDEX(Menu!$B$2:$B$500, MATCH(241, Menu!$G$2:$G$500, 0)),"")</f>
        <v/>
      </c>
      <c r="B242" t="str">
        <f>IFERROR(INDEX(Menu!$B$2:$B$500, MATCH(241, Menu!$H$2:$H$500, 0)),"")</f>
        <v/>
      </c>
      <c r="C242" t="str">
        <f>IFERROR(INDEX(Menu!$B$2:$B$500, MATCH(241, Menu!$I$2:$I$500, 0)),"")</f>
        <v/>
      </c>
      <c r="D242" t="str">
        <f>IFERROR(INDEX(Menu!$B$2:$B$500, MATCH(241, Menu!$J$2:$J$500, 0)),"")</f>
        <v/>
      </c>
      <c r="E242" t="str">
        <f>IFERROR(INDEX(Menu!$B$2:$B$500, MATCH(241, Menu!$K$2:$K$500, 0)),"")</f>
        <v/>
      </c>
      <c r="F242" t="str">
        <f>IFERROR(INDEX(Menu!$B$2:$B$500, MATCH(241, Menu!$L$2:$L$500, 0)),"")</f>
        <v/>
      </c>
    </row>
    <row r="243" spans="1:6">
      <c r="A243" t="str">
        <f>IFERROR(INDEX(Menu!$B$2:$B$500, MATCH(242, Menu!$G$2:$G$500, 0)),"")</f>
        <v/>
      </c>
      <c r="B243" t="str">
        <f>IFERROR(INDEX(Menu!$B$2:$B$500, MATCH(242, Menu!$H$2:$H$500, 0)),"")</f>
        <v/>
      </c>
      <c r="C243" t="str">
        <f>IFERROR(INDEX(Menu!$B$2:$B$500, MATCH(242, Menu!$I$2:$I$500, 0)),"")</f>
        <v/>
      </c>
      <c r="D243" t="str">
        <f>IFERROR(INDEX(Menu!$B$2:$B$500, MATCH(242, Menu!$J$2:$J$500, 0)),"")</f>
        <v/>
      </c>
      <c r="E243" t="str">
        <f>IFERROR(INDEX(Menu!$B$2:$B$500, MATCH(242, Menu!$K$2:$K$500, 0)),"")</f>
        <v/>
      </c>
      <c r="F243" t="str">
        <f>IFERROR(INDEX(Menu!$B$2:$B$500, MATCH(242, Menu!$L$2:$L$500, 0)),"")</f>
        <v/>
      </c>
    </row>
    <row r="244" spans="1:6">
      <c r="A244" t="str">
        <f>IFERROR(INDEX(Menu!$B$2:$B$500, MATCH(243, Menu!$G$2:$G$500, 0)),"")</f>
        <v/>
      </c>
      <c r="B244" t="str">
        <f>IFERROR(INDEX(Menu!$B$2:$B$500, MATCH(243, Menu!$H$2:$H$500, 0)),"")</f>
        <v/>
      </c>
      <c r="C244" t="str">
        <f>IFERROR(INDEX(Menu!$B$2:$B$500, MATCH(243, Menu!$I$2:$I$500, 0)),"")</f>
        <v/>
      </c>
      <c r="D244" t="str">
        <f>IFERROR(INDEX(Menu!$B$2:$B$500, MATCH(243, Menu!$J$2:$J$500, 0)),"")</f>
        <v/>
      </c>
      <c r="E244" t="str">
        <f>IFERROR(INDEX(Menu!$B$2:$B$500, MATCH(243, Menu!$K$2:$K$500, 0)),"")</f>
        <v/>
      </c>
      <c r="F244" t="str">
        <f>IFERROR(INDEX(Menu!$B$2:$B$500, MATCH(243, Menu!$L$2:$L$500, 0)),"")</f>
        <v/>
      </c>
    </row>
    <row r="245" spans="1:6">
      <c r="A245" t="str">
        <f>IFERROR(INDEX(Menu!$B$2:$B$500, MATCH(244, Menu!$G$2:$G$500, 0)),"")</f>
        <v/>
      </c>
      <c r="B245" t="str">
        <f>IFERROR(INDEX(Menu!$B$2:$B$500, MATCH(244, Menu!$H$2:$H$500, 0)),"")</f>
        <v/>
      </c>
      <c r="C245" t="str">
        <f>IFERROR(INDEX(Menu!$B$2:$B$500, MATCH(244, Menu!$I$2:$I$500, 0)),"")</f>
        <v/>
      </c>
      <c r="D245" t="str">
        <f>IFERROR(INDEX(Menu!$B$2:$B$500, MATCH(244, Menu!$J$2:$J$500, 0)),"")</f>
        <v/>
      </c>
      <c r="E245" t="str">
        <f>IFERROR(INDEX(Menu!$B$2:$B$500, MATCH(244, Menu!$K$2:$K$500, 0)),"")</f>
        <v/>
      </c>
      <c r="F245" t="str">
        <f>IFERROR(INDEX(Menu!$B$2:$B$500, MATCH(244, Menu!$L$2:$L$500, 0)),"")</f>
        <v/>
      </c>
    </row>
    <row r="246" spans="1:6">
      <c r="A246" t="str">
        <f>IFERROR(INDEX(Menu!$B$2:$B$500, MATCH(245, Menu!$G$2:$G$500, 0)),"")</f>
        <v/>
      </c>
      <c r="B246" t="str">
        <f>IFERROR(INDEX(Menu!$B$2:$B$500, MATCH(245, Menu!$H$2:$H$500, 0)),"")</f>
        <v/>
      </c>
      <c r="C246" t="str">
        <f>IFERROR(INDEX(Menu!$B$2:$B$500, MATCH(245, Menu!$I$2:$I$500, 0)),"")</f>
        <v/>
      </c>
      <c r="D246" t="str">
        <f>IFERROR(INDEX(Menu!$B$2:$B$500, MATCH(245, Menu!$J$2:$J$500, 0)),"")</f>
        <v/>
      </c>
      <c r="E246" t="str">
        <f>IFERROR(INDEX(Menu!$B$2:$B$500, MATCH(245, Menu!$K$2:$K$500, 0)),"")</f>
        <v/>
      </c>
      <c r="F246" t="str">
        <f>IFERROR(INDEX(Menu!$B$2:$B$500, MATCH(245, Menu!$L$2:$L$500, 0)),"")</f>
        <v/>
      </c>
    </row>
    <row r="247" spans="1:6">
      <c r="A247" t="str">
        <f>IFERROR(INDEX(Menu!$B$2:$B$500, MATCH(246, Menu!$G$2:$G$500, 0)),"")</f>
        <v/>
      </c>
      <c r="B247" t="str">
        <f>IFERROR(INDEX(Menu!$B$2:$B$500, MATCH(246, Menu!$H$2:$H$500, 0)),"")</f>
        <v/>
      </c>
      <c r="C247" t="str">
        <f>IFERROR(INDEX(Menu!$B$2:$B$500, MATCH(246, Menu!$I$2:$I$500, 0)),"")</f>
        <v/>
      </c>
      <c r="D247" t="str">
        <f>IFERROR(INDEX(Menu!$B$2:$B$500, MATCH(246, Menu!$J$2:$J$500, 0)),"")</f>
        <v/>
      </c>
      <c r="E247" t="str">
        <f>IFERROR(INDEX(Menu!$B$2:$B$500, MATCH(246, Menu!$K$2:$K$500, 0)),"")</f>
        <v/>
      </c>
      <c r="F247" t="str">
        <f>IFERROR(INDEX(Menu!$B$2:$B$500, MATCH(246, Menu!$L$2:$L$500, 0)),"")</f>
        <v/>
      </c>
    </row>
    <row r="248" spans="1:6">
      <c r="A248" t="str">
        <f>IFERROR(INDEX(Menu!$B$2:$B$500, MATCH(247, Menu!$G$2:$G$500, 0)),"")</f>
        <v/>
      </c>
      <c r="B248" t="str">
        <f>IFERROR(INDEX(Menu!$B$2:$B$500, MATCH(247, Menu!$H$2:$H$500, 0)),"")</f>
        <v/>
      </c>
      <c r="C248" t="str">
        <f>IFERROR(INDEX(Menu!$B$2:$B$500, MATCH(247, Menu!$I$2:$I$500, 0)),"")</f>
        <v/>
      </c>
      <c r="D248" t="str">
        <f>IFERROR(INDEX(Menu!$B$2:$B$500, MATCH(247, Menu!$J$2:$J$500, 0)),"")</f>
        <v/>
      </c>
      <c r="E248" t="str">
        <f>IFERROR(INDEX(Menu!$B$2:$B$500, MATCH(247, Menu!$K$2:$K$500, 0)),"")</f>
        <v/>
      </c>
      <c r="F248" t="str">
        <f>IFERROR(INDEX(Menu!$B$2:$B$500, MATCH(247, Menu!$L$2:$L$500, 0)),"")</f>
        <v/>
      </c>
    </row>
    <row r="249" spans="1:6">
      <c r="A249" t="str">
        <f>IFERROR(INDEX(Menu!$B$2:$B$500, MATCH(248, Menu!$G$2:$G$500, 0)),"")</f>
        <v/>
      </c>
      <c r="B249" t="str">
        <f>IFERROR(INDEX(Menu!$B$2:$B$500, MATCH(248, Menu!$H$2:$H$500, 0)),"")</f>
        <v/>
      </c>
      <c r="C249" t="str">
        <f>IFERROR(INDEX(Menu!$B$2:$B$500, MATCH(248, Menu!$I$2:$I$500, 0)),"")</f>
        <v/>
      </c>
      <c r="D249" t="str">
        <f>IFERROR(INDEX(Menu!$B$2:$B$500, MATCH(248, Menu!$J$2:$J$500, 0)),"")</f>
        <v/>
      </c>
      <c r="E249" t="str">
        <f>IFERROR(INDEX(Menu!$B$2:$B$500, MATCH(248, Menu!$K$2:$K$500, 0)),"")</f>
        <v/>
      </c>
      <c r="F249" t="str">
        <f>IFERROR(INDEX(Menu!$B$2:$B$500, MATCH(248, Menu!$L$2:$L$500, 0)),"")</f>
        <v/>
      </c>
    </row>
    <row r="250" spans="1:6">
      <c r="A250" t="str">
        <f>IFERROR(INDEX(Menu!$B$2:$B$500, MATCH(249, Menu!$G$2:$G$500, 0)),"")</f>
        <v/>
      </c>
      <c r="B250" t="str">
        <f>IFERROR(INDEX(Menu!$B$2:$B$500, MATCH(249, Menu!$H$2:$H$500, 0)),"")</f>
        <v/>
      </c>
      <c r="C250" t="str">
        <f>IFERROR(INDEX(Menu!$B$2:$B$500, MATCH(249, Menu!$I$2:$I$500, 0)),"")</f>
        <v/>
      </c>
      <c r="D250" t="str">
        <f>IFERROR(INDEX(Menu!$B$2:$B$500, MATCH(249, Menu!$J$2:$J$500, 0)),"")</f>
        <v/>
      </c>
      <c r="E250" t="str">
        <f>IFERROR(INDEX(Menu!$B$2:$B$500, MATCH(249, Menu!$K$2:$K$500, 0)),"")</f>
        <v/>
      </c>
      <c r="F250" t="str">
        <f>IFERROR(INDEX(Menu!$B$2:$B$500, MATCH(249, Menu!$L$2:$L$500, 0)),"")</f>
        <v/>
      </c>
    </row>
    <row r="251" spans="1:6">
      <c r="A251" t="str">
        <f>IFERROR(INDEX(Menu!$B$2:$B$500, MATCH(250, Menu!$G$2:$G$500, 0)),"")</f>
        <v/>
      </c>
      <c r="B251" t="str">
        <f>IFERROR(INDEX(Menu!$B$2:$B$500, MATCH(250, Menu!$H$2:$H$500, 0)),"")</f>
        <v/>
      </c>
      <c r="C251" t="str">
        <f>IFERROR(INDEX(Menu!$B$2:$B$500, MATCH(250, Menu!$I$2:$I$500, 0)),"")</f>
        <v/>
      </c>
      <c r="D251" t="str">
        <f>IFERROR(INDEX(Menu!$B$2:$B$500, MATCH(250, Menu!$J$2:$J$500, 0)),"")</f>
        <v/>
      </c>
      <c r="E251" t="str">
        <f>IFERROR(INDEX(Menu!$B$2:$B$500, MATCH(250, Menu!$K$2:$K$500, 0)),"")</f>
        <v/>
      </c>
      <c r="F251" t="str">
        <f>IFERROR(INDEX(Menu!$B$2:$B$500, MATCH(250, Menu!$L$2:$L$500, 0)),"")</f>
        <v/>
      </c>
    </row>
    <row r="252" spans="1:6">
      <c r="A252" t="str">
        <f>IFERROR(INDEX(Menu!$B$2:$B$500, MATCH(251, Menu!$G$2:$G$500, 0)),"")</f>
        <v/>
      </c>
      <c r="B252" t="str">
        <f>IFERROR(INDEX(Menu!$B$2:$B$500, MATCH(251, Menu!$H$2:$H$500, 0)),"")</f>
        <v/>
      </c>
      <c r="C252" t="str">
        <f>IFERROR(INDEX(Menu!$B$2:$B$500, MATCH(251, Menu!$I$2:$I$500, 0)),"")</f>
        <v/>
      </c>
      <c r="D252" t="str">
        <f>IFERROR(INDEX(Menu!$B$2:$B$500, MATCH(251, Menu!$J$2:$J$500, 0)),"")</f>
        <v/>
      </c>
      <c r="E252" t="str">
        <f>IFERROR(INDEX(Menu!$B$2:$B$500, MATCH(251, Menu!$K$2:$K$500, 0)),"")</f>
        <v/>
      </c>
      <c r="F252" t="str">
        <f>IFERROR(INDEX(Menu!$B$2:$B$500, MATCH(251, Menu!$L$2:$L$500, 0)),"")</f>
        <v/>
      </c>
    </row>
    <row r="253" spans="1:6">
      <c r="A253" t="str">
        <f>IFERROR(INDEX(Menu!$B$2:$B$500, MATCH(252, Menu!$G$2:$G$500, 0)),"")</f>
        <v/>
      </c>
      <c r="B253" t="str">
        <f>IFERROR(INDEX(Menu!$B$2:$B$500, MATCH(252, Menu!$H$2:$H$500, 0)),"")</f>
        <v/>
      </c>
      <c r="C253" t="str">
        <f>IFERROR(INDEX(Menu!$B$2:$B$500, MATCH(252, Menu!$I$2:$I$500, 0)),"")</f>
        <v/>
      </c>
      <c r="D253" t="str">
        <f>IFERROR(INDEX(Menu!$B$2:$B$500, MATCH(252, Menu!$J$2:$J$500, 0)),"")</f>
        <v/>
      </c>
      <c r="E253" t="str">
        <f>IFERROR(INDEX(Menu!$B$2:$B$500, MATCH(252, Menu!$K$2:$K$500, 0)),"")</f>
        <v/>
      </c>
      <c r="F253" t="str">
        <f>IFERROR(INDEX(Menu!$B$2:$B$500, MATCH(252, Menu!$L$2:$L$500, 0)),"")</f>
        <v/>
      </c>
    </row>
    <row r="254" spans="1:6">
      <c r="A254" t="str">
        <f>IFERROR(INDEX(Menu!$B$2:$B$500, MATCH(253, Menu!$G$2:$G$500, 0)),"")</f>
        <v/>
      </c>
      <c r="B254" t="str">
        <f>IFERROR(INDEX(Menu!$B$2:$B$500, MATCH(253, Menu!$H$2:$H$500, 0)),"")</f>
        <v/>
      </c>
      <c r="C254" t="str">
        <f>IFERROR(INDEX(Menu!$B$2:$B$500, MATCH(253, Menu!$I$2:$I$500, 0)),"")</f>
        <v/>
      </c>
      <c r="D254" t="str">
        <f>IFERROR(INDEX(Menu!$B$2:$B$500, MATCH(253, Menu!$J$2:$J$500, 0)),"")</f>
        <v/>
      </c>
      <c r="E254" t="str">
        <f>IFERROR(INDEX(Menu!$B$2:$B$500, MATCH(253, Menu!$K$2:$K$500, 0)),"")</f>
        <v/>
      </c>
      <c r="F254" t="str">
        <f>IFERROR(INDEX(Menu!$B$2:$B$500, MATCH(253, Menu!$L$2:$L$500, 0)),"")</f>
        <v/>
      </c>
    </row>
    <row r="255" spans="1:6">
      <c r="A255" t="str">
        <f>IFERROR(INDEX(Menu!$B$2:$B$500, MATCH(254, Menu!$G$2:$G$500, 0)),"")</f>
        <v/>
      </c>
      <c r="B255" t="str">
        <f>IFERROR(INDEX(Menu!$B$2:$B$500, MATCH(254, Menu!$H$2:$H$500, 0)),"")</f>
        <v/>
      </c>
      <c r="C255" t="str">
        <f>IFERROR(INDEX(Menu!$B$2:$B$500, MATCH(254, Menu!$I$2:$I$500, 0)),"")</f>
        <v/>
      </c>
      <c r="D255" t="str">
        <f>IFERROR(INDEX(Menu!$B$2:$B$500, MATCH(254, Menu!$J$2:$J$500, 0)),"")</f>
        <v/>
      </c>
      <c r="E255" t="str">
        <f>IFERROR(INDEX(Menu!$B$2:$B$500, MATCH(254, Menu!$K$2:$K$500, 0)),"")</f>
        <v/>
      </c>
      <c r="F255" t="str">
        <f>IFERROR(INDEX(Menu!$B$2:$B$500, MATCH(254, Menu!$L$2:$L$500, 0)),"")</f>
        <v/>
      </c>
    </row>
    <row r="256" spans="1:6">
      <c r="A256" t="str">
        <f>IFERROR(INDEX(Menu!$B$2:$B$500, MATCH(255, Menu!$G$2:$G$500, 0)),"")</f>
        <v/>
      </c>
      <c r="B256" t="str">
        <f>IFERROR(INDEX(Menu!$B$2:$B$500, MATCH(255, Menu!$H$2:$H$500, 0)),"")</f>
        <v/>
      </c>
      <c r="C256" t="str">
        <f>IFERROR(INDEX(Menu!$B$2:$B$500, MATCH(255, Menu!$I$2:$I$500, 0)),"")</f>
        <v/>
      </c>
      <c r="D256" t="str">
        <f>IFERROR(INDEX(Menu!$B$2:$B$500, MATCH(255, Menu!$J$2:$J$500, 0)),"")</f>
        <v/>
      </c>
      <c r="E256" t="str">
        <f>IFERROR(INDEX(Menu!$B$2:$B$500, MATCH(255, Menu!$K$2:$K$500, 0)),"")</f>
        <v/>
      </c>
      <c r="F256" t="str">
        <f>IFERROR(INDEX(Menu!$B$2:$B$500, MATCH(255, Menu!$L$2:$L$500, 0)),"")</f>
        <v/>
      </c>
    </row>
    <row r="257" spans="1:6">
      <c r="A257" t="str">
        <f>IFERROR(INDEX(Menu!$B$2:$B$500, MATCH(256, Menu!$G$2:$G$500, 0)),"")</f>
        <v/>
      </c>
      <c r="B257" t="str">
        <f>IFERROR(INDEX(Menu!$B$2:$B$500, MATCH(256, Menu!$H$2:$H$500, 0)),"")</f>
        <v/>
      </c>
      <c r="C257" t="str">
        <f>IFERROR(INDEX(Menu!$B$2:$B$500, MATCH(256, Menu!$I$2:$I$500, 0)),"")</f>
        <v/>
      </c>
      <c r="D257" t="str">
        <f>IFERROR(INDEX(Menu!$B$2:$B$500, MATCH(256, Menu!$J$2:$J$500, 0)),"")</f>
        <v/>
      </c>
      <c r="E257" t="str">
        <f>IFERROR(INDEX(Menu!$B$2:$B$500, MATCH(256, Menu!$K$2:$K$500, 0)),"")</f>
        <v/>
      </c>
      <c r="F257" t="str">
        <f>IFERROR(INDEX(Menu!$B$2:$B$500, MATCH(256, Menu!$L$2:$L$500, 0)),"")</f>
        <v/>
      </c>
    </row>
    <row r="258" spans="1:6">
      <c r="A258" t="str">
        <f>IFERROR(INDEX(Menu!$B$2:$B$500, MATCH(257, Menu!$G$2:$G$500, 0)),"")</f>
        <v/>
      </c>
      <c r="B258" t="str">
        <f>IFERROR(INDEX(Menu!$B$2:$B$500, MATCH(257, Menu!$H$2:$H$500, 0)),"")</f>
        <v/>
      </c>
      <c r="C258" t="str">
        <f>IFERROR(INDEX(Menu!$B$2:$B$500, MATCH(257, Menu!$I$2:$I$500, 0)),"")</f>
        <v/>
      </c>
      <c r="D258" t="str">
        <f>IFERROR(INDEX(Menu!$B$2:$B$500, MATCH(257, Menu!$J$2:$J$500, 0)),"")</f>
        <v/>
      </c>
      <c r="E258" t="str">
        <f>IFERROR(INDEX(Menu!$B$2:$B$500, MATCH(257, Menu!$K$2:$K$500, 0)),"")</f>
        <v/>
      </c>
      <c r="F258" t="str">
        <f>IFERROR(INDEX(Menu!$B$2:$B$500, MATCH(257, Menu!$L$2:$L$500, 0)),"")</f>
        <v/>
      </c>
    </row>
    <row r="259" spans="1:6">
      <c r="A259" t="str">
        <f>IFERROR(INDEX(Menu!$B$2:$B$500, MATCH(258, Menu!$G$2:$G$500, 0)),"")</f>
        <v/>
      </c>
      <c r="B259" t="str">
        <f>IFERROR(INDEX(Menu!$B$2:$B$500, MATCH(258, Menu!$H$2:$H$500, 0)),"")</f>
        <v/>
      </c>
      <c r="C259" t="str">
        <f>IFERROR(INDEX(Menu!$B$2:$B$500, MATCH(258, Menu!$I$2:$I$500, 0)),"")</f>
        <v/>
      </c>
      <c r="D259" t="str">
        <f>IFERROR(INDEX(Menu!$B$2:$B$500, MATCH(258, Menu!$J$2:$J$500, 0)),"")</f>
        <v/>
      </c>
      <c r="E259" t="str">
        <f>IFERROR(INDEX(Menu!$B$2:$B$500, MATCH(258, Menu!$K$2:$K$500, 0)),"")</f>
        <v/>
      </c>
      <c r="F259" t="str">
        <f>IFERROR(INDEX(Menu!$B$2:$B$500, MATCH(258, Menu!$L$2:$L$500, 0)),"")</f>
        <v/>
      </c>
    </row>
    <row r="260" spans="1:6">
      <c r="A260" t="str">
        <f>IFERROR(INDEX(Menu!$B$2:$B$500, MATCH(259, Menu!$G$2:$G$500, 0)),"")</f>
        <v/>
      </c>
      <c r="B260" t="str">
        <f>IFERROR(INDEX(Menu!$B$2:$B$500, MATCH(259, Menu!$H$2:$H$500, 0)),"")</f>
        <v/>
      </c>
      <c r="C260" t="str">
        <f>IFERROR(INDEX(Menu!$B$2:$B$500, MATCH(259, Menu!$I$2:$I$500, 0)),"")</f>
        <v/>
      </c>
      <c r="D260" t="str">
        <f>IFERROR(INDEX(Menu!$B$2:$B$500, MATCH(259, Menu!$J$2:$J$500, 0)),"")</f>
        <v/>
      </c>
      <c r="E260" t="str">
        <f>IFERROR(INDEX(Menu!$B$2:$B$500, MATCH(259, Menu!$K$2:$K$500, 0)),"")</f>
        <v/>
      </c>
      <c r="F260" t="str">
        <f>IFERROR(INDEX(Menu!$B$2:$B$500, MATCH(259, Menu!$L$2:$L$500, 0)),"")</f>
        <v/>
      </c>
    </row>
    <row r="261" spans="1:6">
      <c r="A261" t="str">
        <f>IFERROR(INDEX(Menu!$B$2:$B$500, MATCH(260, Menu!$G$2:$G$500, 0)),"")</f>
        <v/>
      </c>
      <c r="B261" t="str">
        <f>IFERROR(INDEX(Menu!$B$2:$B$500, MATCH(260, Menu!$H$2:$H$500, 0)),"")</f>
        <v/>
      </c>
      <c r="C261" t="str">
        <f>IFERROR(INDEX(Menu!$B$2:$B$500, MATCH(260, Menu!$I$2:$I$500, 0)),"")</f>
        <v/>
      </c>
      <c r="D261" t="str">
        <f>IFERROR(INDEX(Menu!$B$2:$B$500, MATCH(260, Menu!$J$2:$J$500, 0)),"")</f>
        <v/>
      </c>
      <c r="E261" t="str">
        <f>IFERROR(INDEX(Menu!$B$2:$B$500, MATCH(260, Menu!$K$2:$K$500, 0)),"")</f>
        <v/>
      </c>
      <c r="F261" t="str">
        <f>IFERROR(INDEX(Menu!$B$2:$B$500, MATCH(260, Menu!$L$2:$L$500, 0)),"")</f>
        <v/>
      </c>
    </row>
    <row r="262" spans="1:6">
      <c r="A262" t="str">
        <f>IFERROR(INDEX(Menu!$B$2:$B$500, MATCH(261, Menu!$G$2:$G$500, 0)),"")</f>
        <v/>
      </c>
      <c r="B262" t="str">
        <f>IFERROR(INDEX(Menu!$B$2:$B$500, MATCH(261, Menu!$H$2:$H$500, 0)),"")</f>
        <v/>
      </c>
      <c r="C262" t="str">
        <f>IFERROR(INDEX(Menu!$B$2:$B$500, MATCH(261, Menu!$I$2:$I$500, 0)),"")</f>
        <v/>
      </c>
      <c r="D262" t="str">
        <f>IFERROR(INDEX(Menu!$B$2:$B$500, MATCH(261, Menu!$J$2:$J$500, 0)),"")</f>
        <v/>
      </c>
      <c r="E262" t="str">
        <f>IFERROR(INDEX(Menu!$B$2:$B$500, MATCH(261, Menu!$K$2:$K$500, 0)),"")</f>
        <v/>
      </c>
      <c r="F262" t="str">
        <f>IFERROR(INDEX(Menu!$B$2:$B$500, MATCH(261, Menu!$L$2:$L$500, 0)),"")</f>
        <v/>
      </c>
    </row>
    <row r="263" spans="1:6">
      <c r="A263" t="str">
        <f>IFERROR(INDEX(Menu!$B$2:$B$500, MATCH(262, Menu!$G$2:$G$500, 0)),"")</f>
        <v/>
      </c>
      <c r="B263" t="str">
        <f>IFERROR(INDEX(Menu!$B$2:$B$500, MATCH(262, Menu!$H$2:$H$500, 0)),"")</f>
        <v/>
      </c>
      <c r="C263" t="str">
        <f>IFERROR(INDEX(Menu!$B$2:$B$500, MATCH(262, Menu!$I$2:$I$500, 0)),"")</f>
        <v/>
      </c>
      <c r="D263" t="str">
        <f>IFERROR(INDEX(Menu!$B$2:$B$500, MATCH(262, Menu!$J$2:$J$500, 0)),"")</f>
        <v/>
      </c>
      <c r="E263" t="str">
        <f>IFERROR(INDEX(Menu!$B$2:$B$500, MATCH(262, Menu!$K$2:$K$500, 0)),"")</f>
        <v/>
      </c>
      <c r="F263" t="str">
        <f>IFERROR(INDEX(Menu!$B$2:$B$500, MATCH(262, Menu!$L$2:$L$500, 0)),"")</f>
        <v/>
      </c>
    </row>
    <row r="264" spans="1:6">
      <c r="A264" t="str">
        <f>IFERROR(INDEX(Menu!$B$2:$B$500, MATCH(263, Menu!$G$2:$G$500, 0)),"")</f>
        <v/>
      </c>
      <c r="B264" t="str">
        <f>IFERROR(INDEX(Menu!$B$2:$B$500, MATCH(263, Menu!$H$2:$H$500, 0)),"")</f>
        <v/>
      </c>
      <c r="C264" t="str">
        <f>IFERROR(INDEX(Menu!$B$2:$B$500, MATCH(263, Menu!$I$2:$I$500, 0)),"")</f>
        <v/>
      </c>
      <c r="D264" t="str">
        <f>IFERROR(INDEX(Menu!$B$2:$B$500, MATCH(263, Menu!$J$2:$J$500, 0)),"")</f>
        <v/>
      </c>
      <c r="E264" t="str">
        <f>IFERROR(INDEX(Menu!$B$2:$B$500, MATCH(263, Menu!$K$2:$K$500, 0)),"")</f>
        <v/>
      </c>
      <c r="F264" t="str">
        <f>IFERROR(INDEX(Menu!$B$2:$B$500, MATCH(263, Menu!$L$2:$L$500, 0)),"")</f>
        <v/>
      </c>
    </row>
    <row r="265" spans="1:6">
      <c r="A265" t="str">
        <f>IFERROR(INDEX(Menu!$B$2:$B$500, MATCH(264, Menu!$G$2:$G$500, 0)),"")</f>
        <v/>
      </c>
      <c r="B265" t="str">
        <f>IFERROR(INDEX(Menu!$B$2:$B$500, MATCH(264, Menu!$H$2:$H$500, 0)),"")</f>
        <v/>
      </c>
      <c r="C265" t="str">
        <f>IFERROR(INDEX(Menu!$B$2:$B$500, MATCH(264, Menu!$I$2:$I$500, 0)),"")</f>
        <v/>
      </c>
      <c r="D265" t="str">
        <f>IFERROR(INDEX(Menu!$B$2:$B$500, MATCH(264, Menu!$J$2:$J$500, 0)),"")</f>
        <v/>
      </c>
      <c r="E265" t="str">
        <f>IFERROR(INDEX(Menu!$B$2:$B$500, MATCH(264, Menu!$K$2:$K$500, 0)),"")</f>
        <v/>
      </c>
      <c r="F265" t="str">
        <f>IFERROR(INDEX(Menu!$B$2:$B$500, MATCH(264, Menu!$L$2:$L$500, 0)),"")</f>
        <v/>
      </c>
    </row>
    <row r="266" spans="1:6">
      <c r="A266" t="str">
        <f>IFERROR(INDEX(Menu!$B$2:$B$500, MATCH(265, Menu!$G$2:$G$500, 0)),"")</f>
        <v/>
      </c>
      <c r="B266" t="str">
        <f>IFERROR(INDEX(Menu!$B$2:$B$500, MATCH(265, Menu!$H$2:$H$500, 0)),"")</f>
        <v/>
      </c>
      <c r="C266" t="str">
        <f>IFERROR(INDEX(Menu!$B$2:$B$500, MATCH(265, Menu!$I$2:$I$500, 0)),"")</f>
        <v/>
      </c>
      <c r="D266" t="str">
        <f>IFERROR(INDEX(Menu!$B$2:$B$500, MATCH(265, Menu!$J$2:$J$500, 0)),"")</f>
        <v/>
      </c>
      <c r="E266" t="str">
        <f>IFERROR(INDEX(Menu!$B$2:$B$500, MATCH(265, Menu!$K$2:$K$500, 0)),"")</f>
        <v/>
      </c>
      <c r="F266" t="str">
        <f>IFERROR(INDEX(Menu!$B$2:$B$500, MATCH(265, Menu!$L$2:$L$500, 0)),"")</f>
        <v/>
      </c>
    </row>
    <row r="267" spans="1:6">
      <c r="A267" t="str">
        <f>IFERROR(INDEX(Menu!$B$2:$B$500, MATCH(266, Menu!$G$2:$G$500, 0)),"")</f>
        <v/>
      </c>
      <c r="B267" t="str">
        <f>IFERROR(INDEX(Menu!$B$2:$B$500, MATCH(266, Menu!$H$2:$H$500, 0)),"")</f>
        <v/>
      </c>
      <c r="C267" t="str">
        <f>IFERROR(INDEX(Menu!$B$2:$B$500, MATCH(266, Menu!$I$2:$I$500, 0)),"")</f>
        <v/>
      </c>
      <c r="D267" t="str">
        <f>IFERROR(INDEX(Menu!$B$2:$B$500, MATCH(266, Menu!$J$2:$J$500, 0)),"")</f>
        <v/>
      </c>
      <c r="E267" t="str">
        <f>IFERROR(INDEX(Menu!$B$2:$B$500, MATCH(266, Menu!$K$2:$K$500, 0)),"")</f>
        <v/>
      </c>
      <c r="F267" t="str">
        <f>IFERROR(INDEX(Menu!$B$2:$B$500, MATCH(266, Menu!$L$2:$L$500, 0)),"")</f>
        <v/>
      </c>
    </row>
    <row r="268" spans="1:6">
      <c r="A268" t="str">
        <f>IFERROR(INDEX(Menu!$B$2:$B$500, MATCH(267, Menu!$G$2:$G$500, 0)),"")</f>
        <v/>
      </c>
      <c r="B268" t="str">
        <f>IFERROR(INDEX(Menu!$B$2:$B$500, MATCH(267, Menu!$H$2:$H$500, 0)),"")</f>
        <v/>
      </c>
      <c r="C268" t="str">
        <f>IFERROR(INDEX(Menu!$B$2:$B$500, MATCH(267, Menu!$I$2:$I$500, 0)),"")</f>
        <v/>
      </c>
      <c r="D268" t="str">
        <f>IFERROR(INDEX(Menu!$B$2:$B$500, MATCH(267, Menu!$J$2:$J$500, 0)),"")</f>
        <v/>
      </c>
      <c r="E268" t="str">
        <f>IFERROR(INDEX(Menu!$B$2:$B$500, MATCH(267, Menu!$K$2:$K$500, 0)),"")</f>
        <v/>
      </c>
      <c r="F268" t="str">
        <f>IFERROR(INDEX(Menu!$B$2:$B$500, MATCH(267, Menu!$L$2:$L$500, 0)),"")</f>
        <v/>
      </c>
    </row>
    <row r="269" spans="1:6">
      <c r="A269" t="str">
        <f>IFERROR(INDEX(Menu!$B$2:$B$500, MATCH(268, Menu!$G$2:$G$500, 0)),"")</f>
        <v/>
      </c>
      <c r="B269" t="str">
        <f>IFERROR(INDEX(Menu!$B$2:$B$500, MATCH(268, Menu!$H$2:$H$500, 0)),"")</f>
        <v/>
      </c>
      <c r="C269" t="str">
        <f>IFERROR(INDEX(Menu!$B$2:$B$500, MATCH(268, Menu!$I$2:$I$500, 0)),"")</f>
        <v/>
      </c>
      <c r="D269" t="str">
        <f>IFERROR(INDEX(Menu!$B$2:$B$500, MATCH(268, Menu!$J$2:$J$500, 0)),"")</f>
        <v/>
      </c>
      <c r="E269" t="str">
        <f>IFERROR(INDEX(Menu!$B$2:$B$500, MATCH(268, Menu!$K$2:$K$500, 0)),"")</f>
        <v/>
      </c>
      <c r="F269" t="str">
        <f>IFERROR(INDEX(Menu!$B$2:$B$500, MATCH(268, Menu!$L$2:$L$500, 0)),"")</f>
        <v/>
      </c>
    </row>
    <row r="270" spans="1:6">
      <c r="A270" t="str">
        <f>IFERROR(INDEX(Menu!$B$2:$B$500, MATCH(269, Menu!$G$2:$G$500, 0)),"")</f>
        <v/>
      </c>
      <c r="B270" t="str">
        <f>IFERROR(INDEX(Menu!$B$2:$B$500, MATCH(269, Menu!$H$2:$H$500, 0)),"")</f>
        <v/>
      </c>
      <c r="C270" t="str">
        <f>IFERROR(INDEX(Menu!$B$2:$B$500, MATCH(269, Menu!$I$2:$I$500, 0)),"")</f>
        <v/>
      </c>
      <c r="D270" t="str">
        <f>IFERROR(INDEX(Menu!$B$2:$B$500, MATCH(269, Menu!$J$2:$J$500, 0)),"")</f>
        <v/>
      </c>
      <c r="E270" t="str">
        <f>IFERROR(INDEX(Menu!$B$2:$B$500, MATCH(269, Menu!$K$2:$K$500, 0)),"")</f>
        <v/>
      </c>
      <c r="F270" t="str">
        <f>IFERROR(INDEX(Menu!$B$2:$B$500, MATCH(269, Menu!$L$2:$L$500, 0)),"")</f>
        <v/>
      </c>
    </row>
    <row r="271" spans="1:6">
      <c r="A271" t="str">
        <f>IFERROR(INDEX(Menu!$B$2:$B$500, MATCH(270, Menu!$G$2:$G$500, 0)),"")</f>
        <v/>
      </c>
      <c r="B271" t="str">
        <f>IFERROR(INDEX(Menu!$B$2:$B$500, MATCH(270, Menu!$H$2:$H$500, 0)),"")</f>
        <v/>
      </c>
      <c r="C271" t="str">
        <f>IFERROR(INDEX(Menu!$B$2:$B$500, MATCH(270, Menu!$I$2:$I$500, 0)),"")</f>
        <v/>
      </c>
      <c r="D271" t="str">
        <f>IFERROR(INDEX(Menu!$B$2:$B$500, MATCH(270, Menu!$J$2:$J$500, 0)),"")</f>
        <v/>
      </c>
      <c r="E271" t="str">
        <f>IFERROR(INDEX(Menu!$B$2:$B$500, MATCH(270, Menu!$K$2:$K$500, 0)),"")</f>
        <v/>
      </c>
      <c r="F271" t="str">
        <f>IFERROR(INDEX(Menu!$B$2:$B$500, MATCH(270, Menu!$L$2:$L$500, 0)),"")</f>
        <v/>
      </c>
    </row>
    <row r="272" spans="1:6">
      <c r="A272" t="str">
        <f>IFERROR(INDEX(Menu!$B$2:$B$500, MATCH(271, Menu!$G$2:$G$500, 0)),"")</f>
        <v/>
      </c>
      <c r="B272" t="str">
        <f>IFERROR(INDEX(Menu!$B$2:$B$500, MATCH(271, Menu!$H$2:$H$500, 0)),"")</f>
        <v/>
      </c>
      <c r="C272" t="str">
        <f>IFERROR(INDEX(Menu!$B$2:$B$500, MATCH(271, Menu!$I$2:$I$500, 0)),"")</f>
        <v/>
      </c>
      <c r="D272" t="str">
        <f>IFERROR(INDEX(Menu!$B$2:$B$500, MATCH(271, Menu!$J$2:$J$500, 0)),"")</f>
        <v/>
      </c>
      <c r="E272" t="str">
        <f>IFERROR(INDEX(Menu!$B$2:$B$500, MATCH(271, Menu!$K$2:$K$500, 0)),"")</f>
        <v/>
      </c>
      <c r="F272" t="str">
        <f>IFERROR(INDEX(Menu!$B$2:$B$500, MATCH(271, Menu!$L$2:$L$500, 0)),"")</f>
        <v/>
      </c>
    </row>
    <row r="273" spans="1:6">
      <c r="A273" t="str">
        <f>IFERROR(INDEX(Menu!$B$2:$B$500, MATCH(272, Menu!$G$2:$G$500, 0)),"")</f>
        <v/>
      </c>
      <c r="B273" t="str">
        <f>IFERROR(INDEX(Menu!$B$2:$B$500, MATCH(272, Menu!$H$2:$H$500, 0)),"")</f>
        <v/>
      </c>
      <c r="C273" t="str">
        <f>IFERROR(INDEX(Menu!$B$2:$B$500, MATCH(272, Menu!$I$2:$I$500, 0)),"")</f>
        <v/>
      </c>
      <c r="D273" t="str">
        <f>IFERROR(INDEX(Menu!$B$2:$B$500, MATCH(272, Menu!$J$2:$J$500, 0)),"")</f>
        <v/>
      </c>
      <c r="E273" t="str">
        <f>IFERROR(INDEX(Menu!$B$2:$B$500, MATCH(272, Menu!$K$2:$K$500, 0)),"")</f>
        <v/>
      </c>
      <c r="F273" t="str">
        <f>IFERROR(INDEX(Menu!$B$2:$B$500, MATCH(272, Menu!$L$2:$L$500, 0)),"")</f>
        <v/>
      </c>
    </row>
    <row r="274" spans="1:6">
      <c r="A274" t="str">
        <f>IFERROR(INDEX(Menu!$B$2:$B$500, MATCH(273, Menu!$G$2:$G$500, 0)),"")</f>
        <v/>
      </c>
      <c r="B274" t="str">
        <f>IFERROR(INDEX(Menu!$B$2:$B$500, MATCH(273, Menu!$H$2:$H$500, 0)),"")</f>
        <v/>
      </c>
      <c r="C274" t="str">
        <f>IFERROR(INDEX(Menu!$B$2:$B$500, MATCH(273, Menu!$I$2:$I$500, 0)),"")</f>
        <v/>
      </c>
      <c r="D274" t="str">
        <f>IFERROR(INDEX(Menu!$B$2:$B$500, MATCH(273, Menu!$J$2:$J$500, 0)),"")</f>
        <v/>
      </c>
      <c r="E274" t="str">
        <f>IFERROR(INDEX(Menu!$B$2:$B$500, MATCH(273, Menu!$K$2:$K$500, 0)),"")</f>
        <v/>
      </c>
      <c r="F274" t="str">
        <f>IFERROR(INDEX(Menu!$B$2:$B$500, MATCH(273, Menu!$L$2:$L$500, 0)),"")</f>
        <v/>
      </c>
    </row>
    <row r="275" spans="1:6">
      <c r="A275" t="str">
        <f>IFERROR(INDEX(Menu!$B$2:$B$500, MATCH(274, Menu!$G$2:$G$500, 0)),"")</f>
        <v/>
      </c>
      <c r="B275" t="str">
        <f>IFERROR(INDEX(Menu!$B$2:$B$500, MATCH(274, Menu!$H$2:$H$500, 0)),"")</f>
        <v/>
      </c>
      <c r="C275" t="str">
        <f>IFERROR(INDEX(Menu!$B$2:$B$500, MATCH(274, Menu!$I$2:$I$500, 0)),"")</f>
        <v/>
      </c>
      <c r="D275" t="str">
        <f>IFERROR(INDEX(Menu!$B$2:$B$500, MATCH(274, Menu!$J$2:$J$500, 0)),"")</f>
        <v/>
      </c>
      <c r="E275" t="str">
        <f>IFERROR(INDEX(Menu!$B$2:$B$500, MATCH(274, Menu!$K$2:$K$500, 0)),"")</f>
        <v/>
      </c>
      <c r="F275" t="str">
        <f>IFERROR(INDEX(Menu!$B$2:$B$500, MATCH(274, Menu!$L$2:$L$500, 0)),"")</f>
        <v/>
      </c>
    </row>
    <row r="276" spans="1:6">
      <c r="A276" t="str">
        <f>IFERROR(INDEX(Menu!$B$2:$B$500, MATCH(275, Menu!$G$2:$G$500, 0)),"")</f>
        <v/>
      </c>
      <c r="B276" t="str">
        <f>IFERROR(INDEX(Menu!$B$2:$B$500, MATCH(275, Menu!$H$2:$H$500, 0)),"")</f>
        <v/>
      </c>
      <c r="C276" t="str">
        <f>IFERROR(INDEX(Menu!$B$2:$B$500, MATCH(275, Menu!$I$2:$I$500, 0)),"")</f>
        <v/>
      </c>
      <c r="D276" t="str">
        <f>IFERROR(INDEX(Menu!$B$2:$B$500, MATCH(275, Menu!$J$2:$J$500, 0)),"")</f>
        <v/>
      </c>
      <c r="E276" t="str">
        <f>IFERROR(INDEX(Menu!$B$2:$B$500, MATCH(275, Menu!$K$2:$K$500, 0)),"")</f>
        <v/>
      </c>
      <c r="F276" t="str">
        <f>IFERROR(INDEX(Menu!$B$2:$B$500, MATCH(275, Menu!$L$2:$L$500, 0)),"")</f>
        <v/>
      </c>
    </row>
    <row r="277" spans="1:6">
      <c r="A277" t="str">
        <f>IFERROR(INDEX(Menu!$B$2:$B$500, MATCH(276, Menu!$G$2:$G$500, 0)),"")</f>
        <v/>
      </c>
      <c r="B277" t="str">
        <f>IFERROR(INDEX(Menu!$B$2:$B$500, MATCH(276, Menu!$H$2:$H$500, 0)),"")</f>
        <v/>
      </c>
      <c r="C277" t="str">
        <f>IFERROR(INDEX(Menu!$B$2:$B$500, MATCH(276, Menu!$I$2:$I$500, 0)),"")</f>
        <v/>
      </c>
      <c r="D277" t="str">
        <f>IFERROR(INDEX(Menu!$B$2:$B$500, MATCH(276, Menu!$J$2:$J$500, 0)),"")</f>
        <v/>
      </c>
      <c r="E277" t="str">
        <f>IFERROR(INDEX(Menu!$B$2:$B$500, MATCH(276, Menu!$K$2:$K$500, 0)),"")</f>
        <v/>
      </c>
      <c r="F277" t="str">
        <f>IFERROR(INDEX(Menu!$B$2:$B$500, MATCH(276, Menu!$L$2:$L$500, 0)),"")</f>
        <v/>
      </c>
    </row>
    <row r="278" spans="1:6">
      <c r="A278" t="str">
        <f>IFERROR(INDEX(Menu!$B$2:$B$500, MATCH(277, Menu!$G$2:$G$500, 0)),"")</f>
        <v/>
      </c>
      <c r="B278" t="str">
        <f>IFERROR(INDEX(Menu!$B$2:$B$500, MATCH(277, Menu!$H$2:$H$500, 0)),"")</f>
        <v/>
      </c>
      <c r="C278" t="str">
        <f>IFERROR(INDEX(Menu!$B$2:$B$500, MATCH(277, Menu!$I$2:$I$500, 0)),"")</f>
        <v/>
      </c>
      <c r="D278" t="str">
        <f>IFERROR(INDEX(Menu!$B$2:$B$500, MATCH(277, Menu!$J$2:$J$500, 0)),"")</f>
        <v/>
      </c>
      <c r="E278" t="str">
        <f>IFERROR(INDEX(Menu!$B$2:$B$500, MATCH(277, Menu!$K$2:$K$500, 0)),"")</f>
        <v/>
      </c>
      <c r="F278" t="str">
        <f>IFERROR(INDEX(Menu!$B$2:$B$500, MATCH(277, Menu!$L$2:$L$500, 0)),"")</f>
        <v/>
      </c>
    </row>
    <row r="279" spans="1:6">
      <c r="A279" t="str">
        <f>IFERROR(INDEX(Menu!$B$2:$B$500, MATCH(278, Menu!$G$2:$G$500, 0)),"")</f>
        <v/>
      </c>
      <c r="B279" t="str">
        <f>IFERROR(INDEX(Menu!$B$2:$B$500, MATCH(278, Menu!$H$2:$H$500, 0)),"")</f>
        <v/>
      </c>
      <c r="C279" t="str">
        <f>IFERROR(INDEX(Menu!$B$2:$B$500, MATCH(278, Menu!$I$2:$I$500, 0)),"")</f>
        <v/>
      </c>
      <c r="D279" t="str">
        <f>IFERROR(INDEX(Menu!$B$2:$B$500, MATCH(278, Menu!$J$2:$J$500, 0)),"")</f>
        <v/>
      </c>
      <c r="E279" t="str">
        <f>IFERROR(INDEX(Menu!$B$2:$B$500, MATCH(278, Menu!$K$2:$K$500, 0)),"")</f>
        <v/>
      </c>
      <c r="F279" t="str">
        <f>IFERROR(INDEX(Menu!$B$2:$B$500, MATCH(278, Menu!$L$2:$L$500, 0)),"")</f>
        <v/>
      </c>
    </row>
    <row r="280" spans="1:6">
      <c r="A280" t="str">
        <f>IFERROR(INDEX(Menu!$B$2:$B$500, MATCH(279, Menu!$G$2:$G$500, 0)),"")</f>
        <v/>
      </c>
      <c r="B280" t="str">
        <f>IFERROR(INDEX(Menu!$B$2:$B$500, MATCH(279, Menu!$H$2:$H$500, 0)),"")</f>
        <v/>
      </c>
      <c r="C280" t="str">
        <f>IFERROR(INDEX(Menu!$B$2:$B$500, MATCH(279, Menu!$I$2:$I$500, 0)),"")</f>
        <v/>
      </c>
      <c r="D280" t="str">
        <f>IFERROR(INDEX(Menu!$B$2:$B$500, MATCH(279, Menu!$J$2:$J$500, 0)),"")</f>
        <v/>
      </c>
      <c r="E280" t="str">
        <f>IFERROR(INDEX(Menu!$B$2:$B$500, MATCH(279, Menu!$K$2:$K$500, 0)),"")</f>
        <v/>
      </c>
      <c r="F280" t="str">
        <f>IFERROR(INDEX(Menu!$B$2:$B$500, MATCH(279, Menu!$L$2:$L$500, 0)),"")</f>
        <v/>
      </c>
    </row>
    <row r="281" spans="1:6">
      <c r="A281" t="str">
        <f>IFERROR(INDEX(Menu!$B$2:$B$500, MATCH(280, Menu!$G$2:$G$500, 0)),"")</f>
        <v/>
      </c>
      <c r="B281" t="str">
        <f>IFERROR(INDEX(Menu!$B$2:$B$500, MATCH(280, Menu!$H$2:$H$500, 0)),"")</f>
        <v/>
      </c>
      <c r="C281" t="str">
        <f>IFERROR(INDEX(Menu!$B$2:$B$500, MATCH(280, Menu!$I$2:$I$500, 0)),"")</f>
        <v/>
      </c>
      <c r="D281" t="str">
        <f>IFERROR(INDEX(Menu!$B$2:$B$500, MATCH(280, Menu!$J$2:$J$500, 0)),"")</f>
        <v/>
      </c>
      <c r="E281" t="str">
        <f>IFERROR(INDEX(Menu!$B$2:$B$500, MATCH(280, Menu!$K$2:$K$500, 0)),"")</f>
        <v/>
      </c>
      <c r="F281" t="str">
        <f>IFERROR(INDEX(Menu!$B$2:$B$500, MATCH(280, Menu!$L$2:$L$500, 0)),"")</f>
        <v/>
      </c>
    </row>
    <row r="282" spans="1:6">
      <c r="A282" t="str">
        <f>IFERROR(INDEX(Menu!$B$2:$B$500, MATCH(281, Menu!$G$2:$G$500, 0)),"")</f>
        <v/>
      </c>
      <c r="B282" t="str">
        <f>IFERROR(INDEX(Menu!$B$2:$B$500, MATCH(281, Menu!$H$2:$H$500, 0)),"")</f>
        <v/>
      </c>
      <c r="C282" t="str">
        <f>IFERROR(INDEX(Menu!$B$2:$B$500, MATCH(281, Menu!$I$2:$I$500, 0)),"")</f>
        <v/>
      </c>
      <c r="D282" t="str">
        <f>IFERROR(INDEX(Menu!$B$2:$B$500, MATCH(281, Menu!$J$2:$J$500, 0)),"")</f>
        <v/>
      </c>
      <c r="E282" t="str">
        <f>IFERROR(INDEX(Menu!$B$2:$B$500, MATCH(281, Menu!$K$2:$K$500, 0)),"")</f>
        <v/>
      </c>
      <c r="F282" t="str">
        <f>IFERROR(INDEX(Menu!$B$2:$B$500, MATCH(281, Menu!$L$2:$L$500, 0)),"")</f>
        <v/>
      </c>
    </row>
    <row r="283" spans="1:6">
      <c r="A283" t="str">
        <f>IFERROR(INDEX(Menu!$B$2:$B$500, MATCH(282, Menu!$G$2:$G$500, 0)),"")</f>
        <v/>
      </c>
      <c r="B283" t="str">
        <f>IFERROR(INDEX(Menu!$B$2:$B$500, MATCH(282, Menu!$H$2:$H$500, 0)),"")</f>
        <v/>
      </c>
      <c r="C283" t="str">
        <f>IFERROR(INDEX(Menu!$B$2:$B$500, MATCH(282, Menu!$I$2:$I$500, 0)),"")</f>
        <v/>
      </c>
      <c r="D283" t="str">
        <f>IFERROR(INDEX(Menu!$B$2:$B$500, MATCH(282, Menu!$J$2:$J$500, 0)),"")</f>
        <v/>
      </c>
      <c r="E283" t="str">
        <f>IFERROR(INDEX(Menu!$B$2:$B$500, MATCH(282, Menu!$K$2:$K$500, 0)),"")</f>
        <v/>
      </c>
      <c r="F283" t="str">
        <f>IFERROR(INDEX(Menu!$B$2:$B$500, MATCH(282, Menu!$L$2:$L$500, 0)),"")</f>
        <v/>
      </c>
    </row>
    <row r="284" spans="1:6">
      <c r="A284" t="str">
        <f>IFERROR(INDEX(Menu!$B$2:$B$500, MATCH(283, Menu!$G$2:$G$500, 0)),"")</f>
        <v/>
      </c>
      <c r="B284" t="str">
        <f>IFERROR(INDEX(Menu!$B$2:$B$500, MATCH(283, Menu!$H$2:$H$500, 0)),"")</f>
        <v/>
      </c>
      <c r="C284" t="str">
        <f>IFERROR(INDEX(Menu!$B$2:$B$500, MATCH(283, Menu!$I$2:$I$500, 0)),"")</f>
        <v/>
      </c>
      <c r="D284" t="str">
        <f>IFERROR(INDEX(Menu!$B$2:$B$500, MATCH(283, Menu!$J$2:$J$500, 0)),"")</f>
        <v/>
      </c>
      <c r="E284" t="str">
        <f>IFERROR(INDEX(Menu!$B$2:$B$500, MATCH(283, Menu!$K$2:$K$500, 0)),"")</f>
        <v/>
      </c>
      <c r="F284" t="str">
        <f>IFERROR(INDEX(Menu!$B$2:$B$500, MATCH(283, Menu!$L$2:$L$500, 0)),"")</f>
        <v/>
      </c>
    </row>
    <row r="285" spans="1:6">
      <c r="A285" t="str">
        <f>IFERROR(INDEX(Menu!$B$2:$B$500, MATCH(284, Menu!$G$2:$G$500, 0)),"")</f>
        <v/>
      </c>
      <c r="B285" t="str">
        <f>IFERROR(INDEX(Menu!$B$2:$B$500, MATCH(284, Menu!$H$2:$H$500, 0)),"")</f>
        <v/>
      </c>
      <c r="C285" t="str">
        <f>IFERROR(INDEX(Menu!$B$2:$B$500, MATCH(284, Menu!$I$2:$I$500, 0)),"")</f>
        <v/>
      </c>
      <c r="D285" t="str">
        <f>IFERROR(INDEX(Menu!$B$2:$B$500, MATCH(284, Menu!$J$2:$J$500, 0)),"")</f>
        <v/>
      </c>
      <c r="E285" t="str">
        <f>IFERROR(INDEX(Menu!$B$2:$B$500, MATCH(284, Menu!$K$2:$K$500, 0)),"")</f>
        <v/>
      </c>
      <c r="F285" t="str">
        <f>IFERROR(INDEX(Menu!$B$2:$B$500, MATCH(284, Menu!$L$2:$L$500, 0)),"")</f>
        <v/>
      </c>
    </row>
    <row r="286" spans="1:6">
      <c r="A286" t="str">
        <f>IFERROR(INDEX(Menu!$B$2:$B$500, MATCH(285, Menu!$G$2:$G$500, 0)),"")</f>
        <v/>
      </c>
      <c r="B286" t="str">
        <f>IFERROR(INDEX(Menu!$B$2:$B$500, MATCH(285, Menu!$H$2:$H$500, 0)),"")</f>
        <v/>
      </c>
      <c r="C286" t="str">
        <f>IFERROR(INDEX(Menu!$B$2:$B$500, MATCH(285, Menu!$I$2:$I$500, 0)),"")</f>
        <v/>
      </c>
      <c r="D286" t="str">
        <f>IFERROR(INDEX(Menu!$B$2:$B$500, MATCH(285, Menu!$J$2:$J$500, 0)),"")</f>
        <v/>
      </c>
      <c r="E286" t="str">
        <f>IFERROR(INDEX(Menu!$B$2:$B$500, MATCH(285, Menu!$K$2:$K$500, 0)),"")</f>
        <v/>
      </c>
      <c r="F286" t="str">
        <f>IFERROR(INDEX(Menu!$B$2:$B$500, MATCH(285, Menu!$L$2:$L$500, 0)),"")</f>
        <v/>
      </c>
    </row>
    <row r="287" spans="1:6">
      <c r="A287" t="str">
        <f>IFERROR(INDEX(Menu!$B$2:$B$500, MATCH(286, Menu!$G$2:$G$500, 0)),"")</f>
        <v/>
      </c>
      <c r="B287" t="str">
        <f>IFERROR(INDEX(Menu!$B$2:$B$500, MATCH(286, Menu!$H$2:$H$500, 0)),"")</f>
        <v/>
      </c>
      <c r="C287" t="str">
        <f>IFERROR(INDEX(Menu!$B$2:$B$500, MATCH(286, Menu!$I$2:$I$500, 0)),"")</f>
        <v/>
      </c>
      <c r="D287" t="str">
        <f>IFERROR(INDEX(Menu!$B$2:$B$500, MATCH(286, Menu!$J$2:$J$500, 0)),"")</f>
        <v/>
      </c>
      <c r="E287" t="str">
        <f>IFERROR(INDEX(Menu!$B$2:$B$500, MATCH(286, Menu!$K$2:$K$500, 0)),"")</f>
        <v/>
      </c>
      <c r="F287" t="str">
        <f>IFERROR(INDEX(Menu!$B$2:$B$500, MATCH(286, Menu!$L$2:$L$500, 0)),"")</f>
        <v/>
      </c>
    </row>
    <row r="288" spans="1:6">
      <c r="A288" t="str">
        <f>IFERROR(INDEX(Menu!$B$2:$B$500, MATCH(287, Menu!$G$2:$G$500, 0)),"")</f>
        <v/>
      </c>
      <c r="B288" t="str">
        <f>IFERROR(INDEX(Menu!$B$2:$B$500, MATCH(287, Menu!$H$2:$H$500, 0)),"")</f>
        <v/>
      </c>
      <c r="C288" t="str">
        <f>IFERROR(INDEX(Menu!$B$2:$B$500, MATCH(287, Menu!$I$2:$I$500, 0)),"")</f>
        <v/>
      </c>
      <c r="D288" t="str">
        <f>IFERROR(INDEX(Menu!$B$2:$B$500, MATCH(287, Menu!$J$2:$J$500, 0)),"")</f>
        <v/>
      </c>
      <c r="E288" t="str">
        <f>IFERROR(INDEX(Menu!$B$2:$B$500, MATCH(287, Menu!$K$2:$K$500, 0)),"")</f>
        <v/>
      </c>
      <c r="F288" t="str">
        <f>IFERROR(INDEX(Menu!$B$2:$B$500, MATCH(287, Menu!$L$2:$L$500, 0)),"")</f>
        <v/>
      </c>
    </row>
    <row r="289" spans="1:6">
      <c r="A289" t="str">
        <f>IFERROR(INDEX(Menu!$B$2:$B$500, MATCH(288, Menu!$G$2:$G$500, 0)),"")</f>
        <v/>
      </c>
      <c r="B289" t="str">
        <f>IFERROR(INDEX(Menu!$B$2:$B$500, MATCH(288, Menu!$H$2:$H$500, 0)),"")</f>
        <v/>
      </c>
      <c r="C289" t="str">
        <f>IFERROR(INDEX(Menu!$B$2:$B$500, MATCH(288, Menu!$I$2:$I$500, 0)),"")</f>
        <v/>
      </c>
      <c r="D289" t="str">
        <f>IFERROR(INDEX(Menu!$B$2:$B$500, MATCH(288, Menu!$J$2:$J$500, 0)),"")</f>
        <v/>
      </c>
      <c r="E289" t="str">
        <f>IFERROR(INDEX(Menu!$B$2:$B$500, MATCH(288, Menu!$K$2:$K$500, 0)),"")</f>
        <v/>
      </c>
      <c r="F289" t="str">
        <f>IFERROR(INDEX(Menu!$B$2:$B$500, MATCH(288, Menu!$L$2:$L$500, 0)),"")</f>
        <v/>
      </c>
    </row>
    <row r="290" spans="1:6">
      <c r="A290" t="str">
        <f>IFERROR(INDEX(Menu!$B$2:$B$500, MATCH(289, Menu!$G$2:$G$500, 0)),"")</f>
        <v/>
      </c>
      <c r="B290" t="str">
        <f>IFERROR(INDEX(Menu!$B$2:$B$500, MATCH(289, Menu!$H$2:$H$500, 0)),"")</f>
        <v/>
      </c>
      <c r="C290" t="str">
        <f>IFERROR(INDEX(Menu!$B$2:$B$500, MATCH(289, Menu!$I$2:$I$500, 0)),"")</f>
        <v/>
      </c>
      <c r="D290" t="str">
        <f>IFERROR(INDEX(Menu!$B$2:$B$500, MATCH(289, Menu!$J$2:$J$500, 0)),"")</f>
        <v/>
      </c>
      <c r="E290" t="str">
        <f>IFERROR(INDEX(Menu!$B$2:$B$500, MATCH(289, Menu!$K$2:$K$500, 0)),"")</f>
        <v/>
      </c>
      <c r="F290" t="str">
        <f>IFERROR(INDEX(Menu!$B$2:$B$500, MATCH(289, Menu!$L$2:$L$500, 0)),"")</f>
        <v/>
      </c>
    </row>
    <row r="291" spans="1:6">
      <c r="A291" t="str">
        <f>IFERROR(INDEX(Menu!$B$2:$B$500, MATCH(290, Menu!$G$2:$G$500, 0)),"")</f>
        <v/>
      </c>
      <c r="B291" t="str">
        <f>IFERROR(INDEX(Menu!$B$2:$B$500, MATCH(290, Menu!$H$2:$H$500, 0)),"")</f>
        <v/>
      </c>
      <c r="C291" t="str">
        <f>IFERROR(INDEX(Menu!$B$2:$B$500, MATCH(290, Menu!$I$2:$I$500, 0)),"")</f>
        <v/>
      </c>
      <c r="D291" t="str">
        <f>IFERROR(INDEX(Menu!$B$2:$B$500, MATCH(290, Menu!$J$2:$J$500, 0)),"")</f>
        <v/>
      </c>
      <c r="E291" t="str">
        <f>IFERROR(INDEX(Menu!$B$2:$B$500, MATCH(290, Menu!$K$2:$K$500, 0)),"")</f>
        <v/>
      </c>
      <c r="F291" t="str">
        <f>IFERROR(INDEX(Menu!$B$2:$B$500, MATCH(290, Menu!$L$2:$L$500, 0)),"")</f>
        <v/>
      </c>
    </row>
    <row r="292" spans="1:6">
      <c r="A292" t="str">
        <f>IFERROR(INDEX(Menu!$B$2:$B$500, MATCH(291, Menu!$G$2:$G$500, 0)),"")</f>
        <v/>
      </c>
      <c r="B292" t="str">
        <f>IFERROR(INDEX(Menu!$B$2:$B$500, MATCH(291, Menu!$H$2:$H$500, 0)),"")</f>
        <v/>
      </c>
      <c r="C292" t="str">
        <f>IFERROR(INDEX(Menu!$B$2:$B$500, MATCH(291, Menu!$I$2:$I$500, 0)),"")</f>
        <v/>
      </c>
      <c r="D292" t="str">
        <f>IFERROR(INDEX(Menu!$B$2:$B$500, MATCH(291, Menu!$J$2:$J$500, 0)),"")</f>
        <v/>
      </c>
      <c r="E292" t="str">
        <f>IFERROR(INDEX(Menu!$B$2:$B$500, MATCH(291, Menu!$K$2:$K$500, 0)),"")</f>
        <v/>
      </c>
      <c r="F292" t="str">
        <f>IFERROR(INDEX(Menu!$B$2:$B$500, MATCH(291, Menu!$L$2:$L$500, 0)),"")</f>
        <v/>
      </c>
    </row>
    <row r="293" spans="1:6">
      <c r="A293" t="str">
        <f>IFERROR(INDEX(Menu!$B$2:$B$500, MATCH(292, Menu!$G$2:$G$500, 0)),"")</f>
        <v/>
      </c>
      <c r="B293" t="str">
        <f>IFERROR(INDEX(Menu!$B$2:$B$500, MATCH(292, Menu!$H$2:$H$500, 0)),"")</f>
        <v/>
      </c>
      <c r="C293" t="str">
        <f>IFERROR(INDEX(Menu!$B$2:$B$500, MATCH(292, Menu!$I$2:$I$500, 0)),"")</f>
        <v/>
      </c>
      <c r="D293" t="str">
        <f>IFERROR(INDEX(Menu!$B$2:$B$500, MATCH(292, Menu!$J$2:$J$500, 0)),"")</f>
        <v/>
      </c>
      <c r="E293" t="str">
        <f>IFERROR(INDEX(Menu!$B$2:$B$500, MATCH(292, Menu!$K$2:$K$500, 0)),"")</f>
        <v/>
      </c>
      <c r="F293" t="str">
        <f>IFERROR(INDEX(Menu!$B$2:$B$500, MATCH(292, Menu!$L$2:$L$500, 0)),"")</f>
        <v/>
      </c>
    </row>
    <row r="294" spans="1:6">
      <c r="A294" t="str">
        <f>IFERROR(INDEX(Menu!$B$2:$B$500, MATCH(293, Menu!$G$2:$G$500, 0)),"")</f>
        <v/>
      </c>
      <c r="B294" t="str">
        <f>IFERROR(INDEX(Menu!$B$2:$B$500, MATCH(293, Menu!$H$2:$H$500, 0)),"")</f>
        <v/>
      </c>
      <c r="C294" t="str">
        <f>IFERROR(INDEX(Menu!$B$2:$B$500, MATCH(293, Menu!$I$2:$I$500, 0)),"")</f>
        <v/>
      </c>
      <c r="D294" t="str">
        <f>IFERROR(INDEX(Menu!$B$2:$B$500, MATCH(293, Menu!$J$2:$J$500, 0)),"")</f>
        <v/>
      </c>
      <c r="E294" t="str">
        <f>IFERROR(INDEX(Menu!$B$2:$B$500, MATCH(293, Menu!$K$2:$K$500, 0)),"")</f>
        <v/>
      </c>
      <c r="F294" t="str">
        <f>IFERROR(INDEX(Menu!$B$2:$B$500, MATCH(293, Menu!$L$2:$L$500, 0)),"")</f>
        <v/>
      </c>
    </row>
    <row r="295" spans="1:6">
      <c r="A295" t="str">
        <f>IFERROR(INDEX(Menu!$B$2:$B$500, MATCH(294, Menu!$G$2:$G$500, 0)),"")</f>
        <v/>
      </c>
      <c r="B295" t="str">
        <f>IFERROR(INDEX(Menu!$B$2:$B$500, MATCH(294, Menu!$H$2:$H$500, 0)),"")</f>
        <v/>
      </c>
      <c r="C295" t="str">
        <f>IFERROR(INDEX(Menu!$B$2:$B$500, MATCH(294, Menu!$I$2:$I$500, 0)),"")</f>
        <v/>
      </c>
      <c r="D295" t="str">
        <f>IFERROR(INDEX(Menu!$B$2:$B$500, MATCH(294, Menu!$J$2:$J$500, 0)),"")</f>
        <v/>
      </c>
      <c r="E295" t="str">
        <f>IFERROR(INDEX(Menu!$B$2:$B$500, MATCH(294, Menu!$K$2:$K$500, 0)),"")</f>
        <v/>
      </c>
      <c r="F295" t="str">
        <f>IFERROR(INDEX(Menu!$B$2:$B$500, MATCH(294, Menu!$L$2:$L$500, 0)),"")</f>
        <v/>
      </c>
    </row>
    <row r="296" spans="1:6">
      <c r="A296" t="str">
        <f>IFERROR(INDEX(Menu!$B$2:$B$500, MATCH(295, Menu!$G$2:$G$500, 0)),"")</f>
        <v/>
      </c>
      <c r="B296" t="str">
        <f>IFERROR(INDEX(Menu!$B$2:$B$500, MATCH(295, Menu!$H$2:$H$500, 0)),"")</f>
        <v/>
      </c>
      <c r="C296" t="str">
        <f>IFERROR(INDEX(Menu!$B$2:$B$500, MATCH(295, Menu!$I$2:$I$500, 0)),"")</f>
        <v/>
      </c>
      <c r="D296" t="str">
        <f>IFERROR(INDEX(Menu!$B$2:$B$500, MATCH(295, Menu!$J$2:$J$500, 0)),"")</f>
        <v/>
      </c>
      <c r="E296" t="str">
        <f>IFERROR(INDEX(Menu!$B$2:$B$500, MATCH(295, Menu!$K$2:$K$500, 0)),"")</f>
        <v/>
      </c>
      <c r="F296" t="str">
        <f>IFERROR(INDEX(Menu!$B$2:$B$500, MATCH(295, Menu!$L$2:$L$500, 0)),"")</f>
        <v/>
      </c>
    </row>
    <row r="297" spans="1:6">
      <c r="A297" t="str">
        <f>IFERROR(INDEX(Menu!$B$2:$B$500, MATCH(296, Menu!$G$2:$G$500, 0)),"")</f>
        <v/>
      </c>
      <c r="B297" t="str">
        <f>IFERROR(INDEX(Menu!$B$2:$B$500, MATCH(296, Menu!$H$2:$H$500, 0)),"")</f>
        <v/>
      </c>
      <c r="C297" t="str">
        <f>IFERROR(INDEX(Menu!$B$2:$B$500, MATCH(296, Menu!$I$2:$I$500, 0)),"")</f>
        <v/>
      </c>
      <c r="D297" t="str">
        <f>IFERROR(INDEX(Menu!$B$2:$B$500, MATCH(296, Menu!$J$2:$J$500, 0)),"")</f>
        <v/>
      </c>
      <c r="E297" t="str">
        <f>IFERROR(INDEX(Menu!$B$2:$B$500, MATCH(296, Menu!$K$2:$K$500, 0)),"")</f>
        <v/>
      </c>
      <c r="F297" t="str">
        <f>IFERROR(INDEX(Menu!$B$2:$B$500, MATCH(296, Menu!$L$2:$L$500, 0)),"")</f>
        <v/>
      </c>
    </row>
    <row r="298" spans="1:6">
      <c r="A298" t="str">
        <f>IFERROR(INDEX(Menu!$B$2:$B$500, MATCH(297, Menu!$G$2:$G$500, 0)),"")</f>
        <v/>
      </c>
      <c r="B298" t="str">
        <f>IFERROR(INDEX(Menu!$B$2:$B$500, MATCH(297, Menu!$H$2:$H$500, 0)),"")</f>
        <v/>
      </c>
      <c r="C298" t="str">
        <f>IFERROR(INDEX(Menu!$B$2:$B$500, MATCH(297, Menu!$I$2:$I$500, 0)),"")</f>
        <v/>
      </c>
      <c r="D298" t="str">
        <f>IFERROR(INDEX(Menu!$B$2:$B$500, MATCH(297, Menu!$J$2:$J$500, 0)),"")</f>
        <v/>
      </c>
      <c r="E298" t="str">
        <f>IFERROR(INDEX(Menu!$B$2:$B$500, MATCH(297, Menu!$K$2:$K$500, 0)),"")</f>
        <v/>
      </c>
      <c r="F298" t="str">
        <f>IFERROR(INDEX(Menu!$B$2:$B$500, MATCH(297, Menu!$L$2:$L$500, 0)),"")</f>
        <v/>
      </c>
    </row>
    <row r="299" spans="1:6">
      <c r="A299" t="str">
        <f>IFERROR(INDEX(Menu!$B$2:$B$500, MATCH(298, Menu!$G$2:$G$500, 0)),"")</f>
        <v/>
      </c>
      <c r="B299" t="str">
        <f>IFERROR(INDEX(Menu!$B$2:$B$500, MATCH(298, Menu!$H$2:$H$500, 0)),"")</f>
        <v/>
      </c>
      <c r="C299" t="str">
        <f>IFERROR(INDEX(Menu!$B$2:$B$500, MATCH(298, Menu!$I$2:$I$500, 0)),"")</f>
        <v/>
      </c>
      <c r="D299" t="str">
        <f>IFERROR(INDEX(Menu!$B$2:$B$500, MATCH(298, Menu!$J$2:$J$500, 0)),"")</f>
        <v/>
      </c>
      <c r="E299" t="str">
        <f>IFERROR(INDEX(Menu!$B$2:$B$500, MATCH(298, Menu!$K$2:$K$500, 0)),"")</f>
        <v/>
      </c>
      <c r="F299" t="str">
        <f>IFERROR(INDEX(Menu!$B$2:$B$500, MATCH(298, Menu!$L$2:$L$500, 0)),"")</f>
        <v/>
      </c>
    </row>
    <row r="300" spans="1:6">
      <c r="A300" t="str">
        <f>IFERROR(INDEX(Menu!$B$2:$B$500, MATCH(299, Menu!$G$2:$G$500, 0)),"")</f>
        <v/>
      </c>
      <c r="B300" t="str">
        <f>IFERROR(INDEX(Menu!$B$2:$B$500, MATCH(299, Menu!$H$2:$H$500, 0)),"")</f>
        <v/>
      </c>
      <c r="C300" t="str">
        <f>IFERROR(INDEX(Menu!$B$2:$B$500, MATCH(299, Menu!$I$2:$I$500, 0)),"")</f>
        <v/>
      </c>
      <c r="D300" t="str">
        <f>IFERROR(INDEX(Menu!$B$2:$B$500, MATCH(299, Menu!$J$2:$J$500, 0)),"")</f>
        <v/>
      </c>
      <c r="E300" t="str">
        <f>IFERROR(INDEX(Menu!$B$2:$B$500, MATCH(299, Menu!$K$2:$K$500, 0)),"")</f>
        <v/>
      </c>
      <c r="F300" t="str">
        <f>IFERROR(INDEX(Menu!$B$2:$B$500, MATCH(299, Menu!$L$2:$L$500, 0)),"")</f>
        <v/>
      </c>
    </row>
    <row r="301" spans="1:6">
      <c r="A301" t="str">
        <f>IFERROR(INDEX(Menu!$B$2:$B$500, MATCH(300, Menu!$G$2:$G$500, 0)),"")</f>
        <v/>
      </c>
      <c r="B301" t="str">
        <f>IFERROR(INDEX(Menu!$B$2:$B$500, MATCH(300, Menu!$H$2:$H$500, 0)),"")</f>
        <v/>
      </c>
      <c r="C301" t="str">
        <f>IFERROR(INDEX(Menu!$B$2:$B$500, MATCH(300, Menu!$I$2:$I$500, 0)),"")</f>
        <v/>
      </c>
      <c r="D301" t="str">
        <f>IFERROR(INDEX(Menu!$B$2:$B$500, MATCH(300, Menu!$J$2:$J$500, 0)),"")</f>
        <v/>
      </c>
      <c r="E301" t="str">
        <f>IFERROR(INDEX(Menu!$B$2:$B$500, MATCH(300, Menu!$K$2:$K$500, 0)),"")</f>
        <v/>
      </c>
      <c r="F301" t="str">
        <f>IFERROR(INDEX(Menu!$B$2:$B$500, MATCH(300, Menu!$L$2:$L$500, 0)),"")</f>
        <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
  <sheetViews>
    <sheetView tabSelected="1" workbookViewId="0">
      <pane ySplit="1" topLeftCell="A2" activePane="bottomLeft" state="frozen"/>
      <selection activeCell="A16" sqref="A16"/>
      <selection pane="bottomLeft" activeCell="B19" sqref="B19"/>
    </sheetView>
  </sheetViews>
  <sheetFormatPr defaultRowHeight="15"/>
  <cols>
    <col min="1" max="1" width="44" customWidth="1"/>
    <col min="2" max="2" width="70" customWidth="1"/>
  </cols>
  <sheetData>
    <row r="1" spans="1:2">
      <c r="A1" s="9" t="s">
        <v>40</v>
      </c>
      <c r="B1" s="1" t="s">
        <v>5</v>
      </c>
    </row>
    <row r="2" spans="1:2">
      <c r="A2" s="10" t="s">
        <v>41</v>
      </c>
      <c r="B2" s="5"/>
    </row>
    <row r="3" spans="1:2">
      <c r="A3" s="10" t="s">
        <v>42</v>
      </c>
      <c r="B3" s="5"/>
    </row>
    <row r="4" spans="1:2">
      <c r="A4" s="10" t="s">
        <v>43</v>
      </c>
      <c r="B4" s="5"/>
    </row>
    <row r="5" spans="1:2">
      <c r="A5" s="10" t="s">
        <v>44</v>
      </c>
      <c r="B5" s="5"/>
    </row>
    <row r="6" spans="1:2">
      <c r="A6" s="10" t="s">
        <v>45</v>
      </c>
      <c r="B6" s="5"/>
    </row>
    <row r="7" spans="1:2">
      <c r="A7" s="10" t="s">
        <v>46</v>
      </c>
      <c r="B7" s="5"/>
    </row>
    <row r="8" spans="1:2">
      <c r="A8" s="10" t="s">
        <v>47</v>
      </c>
      <c r="B8" s="5"/>
    </row>
    <row r="9" spans="1:2">
      <c r="A9" s="10" t="s">
        <v>48</v>
      </c>
      <c r="B9" s="5"/>
    </row>
    <row r="10" spans="1:2">
      <c r="A10" s="10" t="s">
        <v>49</v>
      </c>
      <c r="B10" s="5" t="s">
        <v>50</v>
      </c>
    </row>
    <row r="11" spans="1:2">
      <c r="A11" s="10" t="s">
        <v>51</v>
      </c>
      <c r="B11" s="6"/>
    </row>
    <row r="12" spans="1:2">
      <c r="A12" s="10" t="s">
        <v>52</v>
      </c>
      <c r="B12" s="5"/>
    </row>
    <row r="13" spans="1:2">
      <c r="A13" s="7"/>
    </row>
    <row r="14" spans="1:2">
      <c r="A14" s="8" t="s">
        <v>113</v>
      </c>
    </row>
    <row r="15" spans="1:2">
      <c r="A15" s="8" t="s">
        <v>114</v>
      </c>
    </row>
    <row r="16" spans="1:2">
      <c r="A16" s="8" t="s">
        <v>115</v>
      </c>
    </row>
    <row r="17" spans="1:1">
      <c r="A17" s="7"/>
    </row>
    <row r="18" spans="1:1">
      <c r="A18" s="8" t="s">
        <v>102</v>
      </c>
    </row>
    <row r="19" spans="1:1">
      <c r="A19" s="7"/>
    </row>
    <row r="20" spans="1:1">
      <c r="A20" s="8" t="s">
        <v>110</v>
      </c>
    </row>
    <row r="21" spans="1:1">
      <c r="A21" s="7"/>
    </row>
    <row r="22" spans="1:1">
      <c r="A22" s="8" t="s">
        <v>111</v>
      </c>
    </row>
    <row r="23" spans="1:1">
      <c r="A23" s="7"/>
    </row>
    <row r="24" spans="1:1">
      <c r="A24" s="8" t="s">
        <v>112</v>
      </c>
    </row>
    <row r="25" spans="1:1">
      <c r="A25" s="7"/>
    </row>
  </sheetData>
  <sheetProtection algorithmName="SHA-512" hashValue="v3fiONqUmDI1j7BAaOynDMCQ7BCiDmzfqCsx83P8cPyn0Uo/aEZdiJywagsNvRom3q1u12INHUWaluaq8ljDvw==" saltValue="LKS8wJlKMj+YkwxxW1hnBQ==" spinCount="100000" sheet="1" objects="1" scenarios="1"/>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33450D01-D348-46D0-8C00-356F50FE72F2}">
          <x14:formula1>
            <xm:f>Config!$B$6:$B$10</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3"/>
  <sheetViews>
    <sheetView workbookViewId="0">
      <pane ySplit="1" topLeftCell="A2" activePane="bottomLeft" state="frozen"/>
      <selection activeCell="A16" sqref="A16"/>
      <selection pane="bottomLeft" activeCell="B2" sqref="B2"/>
    </sheetView>
  </sheetViews>
  <sheetFormatPr defaultRowHeight="15"/>
  <cols>
    <col min="1" max="1" width="5" customWidth="1"/>
    <col min="2" max="2" width="22" customWidth="1"/>
    <col min="3" max="3" width="35.85546875" customWidth="1"/>
    <col min="4" max="5" width="28" customWidth="1"/>
    <col min="6" max="6" width="28" hidden="1" customWidth="1"/>
    <col min="7" max="7" width="26" customWidth="1"/>
    <col min="8" max="11" width="12" hidden="1" customWidth="1"/>
    <col min="12" max="12" width="14" hidden="1" customWidth="1"/>
  </cols>
  <sheetData>
    <row r="1" spans="1:12">
      <c r="A1" s="3" t="s">
        <v>53</v>
      </c>
      <c r="B1" s="3" t="s">
        <v>54</v>
      </c>
      <c r="C1" s="3" t="s">
        <v>28</v>
      </c>
      <c r="D1" s="3" t="s">
        <v>30</v>
      </c>
      <c r="E1" s="3" t="s">
        <v>31</v>
      </c>
      <c r="F1" s="3" t="s">
        <v>55</v>
      </c>
      <c r="G1" s="3" t="s">
        <v>56</v>
      </c>
      <c r="H1" s="1" t="s">
        <v>57</v>
      </c>
      <c r="I1" s="1" t="s">
        <v>58</v>
      </c>
      <c r="J1" s="1" t="s">
        <v>59</v>
      </c>
      <c r="K1" s="1" t="s">
        <v>60</v>
      </c>
      <c r="L1" s="1" t="s">
        <v>61</v>
      </c>
    </row>
    <row r="2" spans="1:12">
      <c r="A2" s="4">
        <v>1</v>
      </c>
      <c r="B2" s="5"/>
      <c r="C2" s="5"/>
      <c r="D2" s="5"/>
      <c r="E2" s="5"/>
      <c r="F2" s="5"/>
      <c r="G2" s="5"/>
      <c r="H2" t="str">
        <f>IF(C2="","",IFERROR(VLOOKUP(C2,Menu!$B:$D,3,FALSE),0))</f>
        <v/>
      </c>
      <c r="I2" t="str">
        <f>IF(D2="","",IFERROR(VLOOKUP(D2,Menu!$B:$D,3,FALSE),0))</f>
        <v/>
      </c>
      <c r="J2" t="str">
        <f>IF(E2="","",IFERROR(VLOOKUP(E2,Menu!$B:$D,3,FALSE),0))</f>
        <v/>
      </c>
      <c r="K2" t="str">
        <f>IF(F2="","",IFERROR(VLOOKUP(F2,Menu!$B:$D,3,FALSE),0))</f>
        <v/>
      </c>
      <c r="L2" t="e">
        <f>+IF(B2&gt;0,Event!$B$11,(H2+I2+J2))</f>
        <v>#VALUE!</v>
      </c>
    </row>
    <row r="3" spans="1:12">
      <c r="A3" s="4">
        <v>2</v>
      </c>
      <c r="B3" s="5"/>
      <c r="C3" s="5"/>
      <c r="D3" s="5"/>
      <c r="E3" s="5"/>
      <c r="F3" s="5"/>
      <c r="G3" s="5"/>
      <c r="H3" t="str">
        <f>IF(C3="","",IFERROR(VLOOKUP(C3,Menu!$B:$D,3,FALSE),0))</f>
        <v/>
      </c>
      <c r="I3" t="str">
        <f>IF(D3="","",IFERROR(VLOOKUP(D3,Menu!$B:$D,3,FALSE),0))</f>
        <v/>
      </c>
      <c r="J3" t="str">
        <f>IF(E3="","",IFERROR(VLOOKUP(E3,Menu!$B:$D,3,FALSE),0))</f>
        <v/>
      </c>
      <c r="K3" t="str">
        <f>IF(F3="","",IFERROR(VLOOKUP(F3,Menu!$B:$D,3,FALSE),0))</f>
        <v/>
      </c>
      <c r="L3" t="e">
        <f>+IF(B3&gt;0,Event!$B$11,(H3+I3+J3))</f>
        <v>#VALUE!</v>
      </c>
    </row>
    <row r="4" spans="1:12">
      <c r="A4" s="4">
        <v>3</v>
      </c>
      <c r="B4" s="5"/>
      <c r="C4" s="5"/>
      <c r="D4" s="5"/>
      <c r="E4" s="5"/>
      <c r="F4" s="5"/>
      <c r="G4" s="5"/>
      <c r="H4" t="str">
        <f>IF(C4="","",IFERROR(VLOOKUP(C4,Menu!$B:$D,3,FALSE),0))</f>
        <v/>
      </c>
      <c r="I4" t="str">
        <f>IF(D4="","",IFERROR(VLOOKUP(D4,Menu!$B:$D,3,FALSE),0))</f>
        <v/>
      </c>
      <c r="J4" t="str">
        <f>IF(E4="","",IFERROR(VLOOKUP(E4,Menu!$B:$D,3,FALSE),0))</f>
        <v/>
      </c>
      <c r="K4" t="str">
        <f>IF(F4="","",IFERROR(VLOOKUP(F4,Menu!$B:$D,3,FALSE),0))</f>
        <v/>
      </c>
      <c r="L4" t="e">
        <f>+IF(B4&gt;0,Event!$B$11,(H4+I4+J4))</f>
        <v>#VALUE!</v>
      </c>
    </row>
    <row r="5" spans="1:12">
      <c r="A5" s="4">
        <v>4</v>
      </c>
      <c r="B5" s="5"/>
      <c r="C5" s="5"/>
      <c r="D5" s="5"/>
      <c r="E5" s="5"/>
      <c r="F5" s="5"/>
      <c r="G5" s="5"/>
      <c r="H5" t="str">
        <f>IF(C5="","",IFERROR(VLOOKUP(C5,Menu!$B:$D,3,FALSE),0))</f>
        <v/>
      </c>
      <c r="I5" t="str">
        <f>IF(D5="","",IFERROR(VLOOKUP(D5,Menu!$B:$D,3,FALSE),0))</f>
        <v/>
      </c>
      <c r="J5" t="str">
        <f>IF(E5="","",IFERROR(VLOOKUP(E5,Menu!$B:$D,3,FALSE),0))</f>
        <v/>
      </c>
      <c r="K5" t="str">
        <f>IF(F5="","",IFERROR(VLOOKUP(F5,Menu!$B:$D,3,FALSE),0))</f>
        <v/>
      </c>
      <c r="L5" t="e">
        <f>+IF(B5&gt;0,Event!$B$11,(H5+I5+J5))</f>
        <v>#VALUE!</v>
      </c>
    </row>
    <row r="6" spans="1:12">
      <c r="A6" s="4">
        <v>5</v>
      </c>
      <c r="B6" s="5"/>
      <c r="C6" s="5"/>
      <c r="D6" s="5"/>
      <c r="E6" s="5"/>
      <c r="F6" s="5"/>
      <c r="G6" s="5"/>
      <c r="H6" t="str">
        <f>IF(C6="","",IFERROR(VLOOKUP(C6,Menu!$B:$D,3,FALSE),0))</f>
        <v/>
      </c>
      <c r="I6" t="str">
        <f>IF(D6="","",IFERROR(VLOOKUP(D6,Menu!$B:$D,3,FALSE),0))</f>
        <v/>
      </c>
      <c r="J6" t="str">
        <f>IF(E6="","",IFERROR(VLOOKUP(E6,Menu!$B:$D,3,FALSE),0))</f>
        <v/>
      </c>
      <c r="K6" t="str">
        <f>IF(F6="","",IFERROR(VLOOKUP(F6,Menu!$B:$D,3,FALSE),0))</f>
        <v/>
      </c>
      <c r="L6" t="e">
        <f>+IF(B6&gt;0,Event!$B$11,(H6+I6+J6))</f>
        <v>#VALUE!</v>
      </c>
    </row>
    <row r="7" spans="1:12">
      <c r="A7" s="4">
        <v>6</v>
      </c>
      <c r="B7" s="5"/>
      <c r="C7" s="5"/>
      <c r="D7" s="5"/>
      <c r="E7" s="5"/>
      <c r="F7" s="5"/>
      <c r="G7" s="5"/>
      <c r="H7" t="str">
        <f>IF(C7="","",IFERROR(VLOOKUP(C7,Menu!$B:$D,3,FALSE),0))</f>
        <v/>
      </c>
      <c r="I7" t="str">
        <f>IF(D7="","",IFERROR(VLOOKUP(D7,Menu!$B:$D,3,FALSE),0))</f>
        <v/>
      </c>
      <c r="J7" t="str">
        <f>IF(E7="","",IFERROR(VLOOKUP(E7,Menu!$B:$D,3,FALSE),0))</f>
        <v/>
      </c>
      <c r="K7" t="str">
        <f>IF(F7="","",IFERROR(VLOOKUP(F7,Menu!$B:$D,3,FALSE),0))</f>
        <v/>
      </c>
      <c r="L7" t="e">
        <f>+IF(B7&gt;0,Event!$B$11,(H7+I7+J7))</f>
        <v>#VALUE!</v>
      </c>
    </row>
    <row r="8" spans="1:12">
      <c r="A8" s="4">
        <v>7</v>
      </c>
      <c r="B8" s="5"/>
      <c r="C8" s="5"/>
      <c r="D8" s="5"/>
      <c r="E8" s="5"/>
      <c r="F8" s="5"/>
      <c r="G8" s="5"/>
      <c r="H8" t="str">
        <f>IF(C8="","",IFERROR(VLOOKUP(C8,Menu!$B:$D,3,FALSE),0))</f>
        <v/>
      </c>
      <c r="I8" t="str">
        <f>IF(D8="","",IFERROR(VLOOKUP(D8,Menu!$B:$D,3,FALSE),0))</f>
        <v/>
      </c>
      <c r="J8" t="str">
        <f>IF(E8="","",IFERROR(VLOOKUP(E8,Menu!$B:$D,3,FALSE),0))</f>
        <v/>
      </c>
      <c r="K8" t="str">
        <f>IF(F8="","",IFERROR(VLOOKUP(F8,Menu!$B:$D,3,FALSE),0))</f>
        <v/>
      </c>
      <c r="L8" t="e">
        <f>+IF(B8&gt;0,Event!$B$11,(H8+I8+J8))</f>
        <v>#VALUE!</v>
      </c>
    </row>
    <row r="9" spans="1:12">
      <c r="A9" s="4">
        <v>8</v>
      </c>
      <c r="B9" s="5"/>
      <c r="C9" s="5"/>
      <c r="D9" s="5"/>
      <c r="E9" s="5"/>
      <c r="F9" s="5"/>
      <c r="G9" s="5"/>
      <c r="H9" t="str">
        <f>IF(C9="","",IFERROR(VLOOKUP(C9,Menu!$B:$D,3,FALSE),0))</f>
        <v/>
      </c>
      <c r="I9" t="str">
        <f>IF(D9="","",IFERROR(VLOOKUP(D9,Menu!$B:$D,3,FALSE),0))</f>
        <v/>
      </c>
      <c r="J9" t="str">
        <f>IF(E9="","",IFERROR(VLOOKUP(E9,Menu!$B:$D,3,FALSE),0))</f>
        <v/>
      </c>
      <c r="K9" t="str">
        <f>IF(F9="","",IFERROR(VLOOKUP(F9,Menu!$B:$D,3,FALSE),0))</f>
        <v/>
      </c>
      <c r="L9" t="e">
        <f>+IF(B9&gt;0,Event!$B$11,(H9+I9+J9))</f>
        <v>#VALUE!</v>
      </c>
    </row>
    <row r="10" spans="1:12">
      <c r="A10" s="4">
        <v>9</v>
      </c>
      <c r="B10" s="5"/>
      <c r="C10" s="5"/>
      <c r="D10" s="5"/>
      <c r="E10" s="5"/>
      <c r="F10" s="5"/>
      <c r="G10" s="5"/>
      <c r="H10" t="str">
        <f>IF(C10="","",IFERROR(VLOOKUP(C10,Menu!$B:$D,3,FALSE),0))</f>
        <v/>
      </c>
      <c r="I10" t="str">
        <f>IF(D10="","",IFERROR(VLOOKUP(D10,Menu!$B:$D,3,FALSE),0))</f>
        <v/>
      </c>
      <c r="J10" t="str">
        <f>IF(E10="","",IFERROR(VLOOKUP(E10,Menu!$B:$D,3,FALSE),0))</f>
        <v/>
      </c>
      <c r="K10" t="str">
        <f>IF(F10="","",IFERROR(VLOOKUP(F10,Menu!$B:$D,3,FALSE),0))</f>
        <v/>
      </c>
      <c r="L10" t="e">
        <f>+IF(B10&gt;0,Event!$B$11,(H10+I10+J10))</f>
        <v>#VALUE!</v>
      </c>
    </row>
    <row r="11" spans="1:12">
      <c r="A11" s="4">
        <v>10</v>
      </c>
      <c r="B11" s="5"/>
      <c r="C11" s="5"/>
      <c r="D11" s="5"/>
      <c r="E11" s="5"/>
      <c r="F11" s="5"/>
      <c r="G11" s="5"/>
      <c r="H11" t="str">
        <f>IF(C11="","",IFERROR(VLOOKUP(C11,Menu!$B:$D,3,FALSE),0))</f>
        <v/>
      </c>
      <c r="I11" t="str">
        <f>IF(D11="","",IFERROR(VLOOKUP(D11,Menu!$B:$D,3,FALSE),0))</f>
        <v/>
      </c>
      <c r="J11" t="str">
        <f>IF(E11="","",IFERROR(VLOOKUP(E11,Menu!$B:$D,3,FALSE),0))</f>
        <v/>
      </c>
      <c r="K11" t="str">
        <f>IF(F11="","",IFERROR(VLOOKUP(F11,Menu!$B:$D,3,FALSE),0))</f>
        <v/>
      </c>
      <c r="L11" t="e">
        <f>+IF(B11&gt;0,Event!$B$11,(H11+I11+J11))</f>
        <v>#VALUE!</v>
      </c>
    </row>
    <row r="12" spans="1:12">
      <c r="A12" s="4">
        <v>11</v>
      </c>
      <c r="B12" s="5"/>
      <c r="C12" s="5"/>
      <c r="D12" s="5"/>
      <c r="E12" s="5"/>
      <c r="F12" s="5"/>
      <c r="G12" s="5"/>
      <c r="H12" t="str">
        <f>IF(C12="","",IFERROR(VLOOKUP(C12,Menu!$B:$D,3,FALSE),0))</f>
        <v/>
      </c>
      <c r="I12" t="str">
        <f>IF(D12="","",IFERROR(VLOOKUP(D12,Menu!$B:$D,3,FALSE),0))</f>
        <v/>
      </c>
      <c r="J12" t="str">
        <f>IF(E12="","",IFERROR(VLOOKUP(E12,Menu!$B:$D,3,FALSE),0))</f>
        <v/>
      </c>
      <c r="K12" t="str">
        <f>IF(F12="","",IFERROR(VLOOKUP(F12,Menu!$B:$D,3,FALSE),0))</f>
        <v/>
      </c>
      <c r="L12" t="e">
        <f>+IF(B12&gt;0,Event!$B$11,(H12+I12+J12))</f>
        <v>#VALUE!</v>
      </c>
    </row>
    <row r="13" spans="1:12">
      <c r="A13" s="4">
        <v>12</v>
      </c>
      <c r="B13" s="5"/>
      <c r="C13" s="5"/>
      <c r="D13" s="5"/>
      <c r="E13" s="5"/>
      <c r="F13" s="5"/>
      <c r="G13" s="5"/>
      <c r="H13" t="str">
        <f>IF(C13="","",IFERROR(VLOOKUP(C13,Menu!$B:$D,3,FALSE),0))</f>
        <v/>
      </c>
      <c r="I13" t="str">
        <f>IF(D13="","",IFERROR(VLOOKUP(D13,Menu!$B:$D,3,FALSE),0))</f>
        <v/>
      </c>
      <c r="J13" t="str">
        <f>IF(E13="","",IFERROR(VLOOKUP(E13,Menu!$B:$D,3,FALSE),0))</f>
        <v/>
      </c>
      <c r="K13" t="str">
        <f>IF(F13="","",IFERROR(VLOOKUP(F13,Menu!$B:$D,3,FALSE),0))</f>
        <v/>
      </c>
      <c r="L13" t="e">
        <f>+IF(B13&gt;0,Event!$B$11,(H13+I13+J13))</f>
        <v>#VALUE!</v>
      </c>
    </row>
    <row r="14" spans="1:12">
      <c r="A14" s="4">
        <v>13</v>
      </c>
      <c r="B14" s="5"/>
      <c r="C14" s="5"/>
      <c r="D14" s="5"/>
      <c r="E14" s="5"/>
      <c r="F14" s="5"/>
      <c r="G14" s="5"/>
      <c r="H14" t="str">
        <f>IF(C14="","",IFERROR(VLOOKUP(C14,Menu!$B:$D,3,FALSE),0))</f>
        <v/>
      </c>
      <c r="I14" t="str">
        <f>IF(D14="","",IFERROR(VLOOKUP(D14,Menu!$B:$D,3,FALSE),0))</f>
        <v/>
      </c>
      <c r="J14" t="str">
        <f>IF(E14="","",IFERROR(VLOOKUP(E14,Menu!$B:$D,3,FALSE),0))</f>
        <v/>
      </c>
      <c r="K14" t="str">
        <f>IF(F14="","",IFERROR(VLOOKUP(F14,Menu!$B:$D,3,FALSE),0))</f>
        <v/>
      </c>
      <c r="L14" t="e">
        <f>+IF(B14&gt;0,Event!$B$11,(H14+I14+J14))</f>
        <v>#VALUE!</v>
      </c>
    </row>
    <row r="15" spans="1:12">
      <c r="A15" s="4">
        <v>14</v>
      </c>
      <c r="B15" s="5"/>
      <c r="C15" s="5"/>
      <c r="D15" s="5"/>
      <c r="E15" s="5"/>
      <c r="F15" s="5"/>
      <c r="G15" s="5"/>
      <c r="H15" t="str">
        <f>IF(C15="","",IFERROR(VLOOKUP(C15,Menu!$B:$D,3,FALSE),0))</f>
        <v/>
      </c>
      <c r="I15" t="str">
        <f>IF(D15="","",IFERROR(VLOOKUP(D15,Menu!$B:$D,3,FALSE),0))</f>
        <v/>
      </c>
      <c r="J15" t="str">
        <f>IF(E15="","",IFERROR(VLOOKUP(E15,Menu!$B:$D,3,FALSE),0))</f>
        <v/>
      </c>
      <c r="K15" t="str">
        <f>IF(F15="","",IFERROR(VLOOKUP(F15,Menu!$B:$D,3,FALSE),0))</f>
        <v/>
      </c>
      <c r="L15" t="e">
        <f>+IF(B15&gt;0,Event!$B$11,(H15+I15+J15))</f>
        <v>#VALUE!</v>
      </c>
    </row>
    <row r="16" spans="1:12">
      <c r="A16" s="4">
        <v>15</v>
      </c>
      <c r="B16" s="5"/>
      <c r="C16" s="5"/>
      <c r="D16" s="5"/>
      <c r="E16" s="5"/>
      <c r="F16" s="5"/>
      <c r="G16" s="5"/>
      <c r="H16" t="str">
        <f>IF(C16="","",IFERROR(VLOOKUP(C16,Menu!$B:$D,3,FALSE),0))</f>
        <v/>
      </c>
      <c r="I16" t="str">
        <f>IF(D16="","",IFERROR(VLOOKUP(D16,Menu!$B:$D,3,FALSE),0))</f>
        <v/>
      </c>
      <c r="J16" t="str">
        <f>IF(E16="","",IFERROR(VLOOKUP(E16,Menu!$B:$D,3,FALSE),0))</f>
        <v/>
      </c>
      <c r="K16" t="str">
        <f>IF(F16="","",IFERROR(VLOOKUP(F16,Menu!$B:$D,3,FALSE),0))</f>
        <v/>
      </c>
      <c r="L16" t="e">
        <f>+IF(B16&gt;0,Event!$B$11,(H16+I16+J16))</f>
        <v>#VALUE!</v>
      </c>
    </row>
    <row r="17" spans="1:12">
      <c r="A17" s="4">
        <v>16</v>
      </c>
      <c r="B17" s="5"/>
      <c r="C17" s="5"/>
      <c r="D17" s="5"/>
      <c r="E17" s="5"/>
      <c r="F17" s="5"/>
      <c r="G17" s="5"/>
      <c r="H17" t="str">
        <f>IF(C17="","",IFERROR(VLOOKUP(C17,Menu!$B:$D,3,FALSE),0))</f>
        <v/>
      </c>
      <c r="I17" t="str">
        <f>IF(D17="","",IFERROR(VLOOKUP(D17,Menu!$B:$D,3,FALSE),0))</f>
        <v/>
      </c>
      <c r="J17" t="str">
        <f>IF(E17="","",IFERROR(VLOOKUP(E17,Menu!$B:$D,3,FALSE),0))</f>
        <v/>
      </c>
      <c r="K17" t="str">
        <f>IF(F17="","",IFERROR(VLOOKUP(F17,Menu!$B:$D,3,FALSE),0))</f>
        <v/>
      </c>
      <c r="L17" t="e">
        <f>+IF(B17&gt;0,Event!$B$11,(H17+I17+J17))</f>
        <v>#VALUE!</v>
      </c>
    </row>
    <row r="18" spans="1:12">
      <c r="A18" s="4">
        <v>17</v>
      </c>
      <c r="B18" s="5"/>
      <c r="C18" s="5"/>
      <c r="D18" s="5"/>
      <c r="E18" s="5"/>
      <c r="F18" s="5"/>
      <c r="G18" s="5"/>
      <c r="H18" t="str">
        <f>IF(C18="","",IFERROR(VLOOKUP(C18,Menu!$B:$D,3,FALSE),0))</f>
        <v/>
      </c>
      <c r="I18" t="str">
        <f>IF(D18="","",IFERROR(VLOOKUP(D18,Menu!$B:$D,3,FALSE),0))</f>
        <v/>
      </c>
      <c r="J18" t="str">
        <f>IF(E18="","",IFERROR(VLOOKUP(E18,Menu!$B:$D,3,FALSE),0))</f>
        <v/>
      </c>
      <c r="K18" t="str">
        <f>IF(F18="","",IFERROR(VLOOKUP(F18,Menu!$B:$D,3,FALSE),0))</f>
        <v/>
      </c>
      <c r="L18" t="e">
        <f>+IF(B18&gt;0,Event!$B$11,(H18+I18+J18))</f>
        <v>#VALUE!</v>
      </c>
    </row>
    <row r="19" spans="1:12">
      <c r="A19" s="4">
        <v>18</v>
      </c>
      <c r="B19" s="5"/>
      <c r="C19" s="5"/>
      <c r="D19" s="5"/>
      <c r="E19" s="5"/>
      <c r="F19" s="5"/>
      <c r="G19" s="5"/>
      <c r="H19" t="str">
        <f>IF(C19="","",IFERROR(VLOOKUP(C19,Menu!$B:$D,3,FALSE),0))</f>
        <v/>
      </c>
      <c r="I19" t="str">
        <f>IF(D19="","",IFERROR(VLOOKUP(D19,Menu!$B:$D,3,FALSE),0))</f>
        <v/>
      </c>
      <c r="J19" t="str">
        <f>IF(E19="","",IFERROR(VLOOKUP(E19,Menu!$B:$D,3,FALSE),0))</f>
        <v/>
      </c>
      <c r="K19" t="str">
        <f>IF(F19="","",IFERROR(VLOOKUP(F19,Menu!$B:$D,3,FALSE),0))</f>
        <v/>
      </c>
      <c r="L19" t="e">
        <f>+IF(B19&gt;0,Event!$B$11,(H19+I19+J19))</f>
        <v>#VALUE!</v>
      </c>
    </row>
    <row r="20" spans="1:12">
      <c r="A20" s="4">
        <v>19</v>
      </c>
      <c r="B20" s="5"/>
      <c r="C20" s="5"/>
      <c r="D20" s="5"/>
      <c r="E20" s="5"/>
      <c r="F20" s="5"/>
      <c r="G20" s="5"/>
      <c r="H20" t="str">
        <f>IF(C20="","",IFERROR(VLOOKUP(C20,Menu!$B:$D,3,FALSE),0))</f>
        <v/>
      </c>
      <c r="I20" t="str">
        <f>IF(D20="","",IFERROR(VLOOKUP(D20,Menu!$B:$D,3,FALSE),0))</f>
        <v/>
      </c>
      <c r="J20" t="str">
        <f>IF(E20="","",IFERROR(VLOOKUP(E20,Menu!$B:$D,3,FALSE),0))</f>
        <v/>
      </c>
      <c r="K20" t="str">
        <f>IF(F20="","",IFERROR(VLOOKUP(F20,Menu!$B:$D,3,FALSE),0))</f>
        <v/>
      </c>
      <c r="L20" t="e">
        <f>+IF(B20&gt;0,Event!$B$11,(H20+I20+J20))</f>
        <v>#VALUE!</v>
      </c>
    </row>
    <row r="21" spans="1:12">
      <c r="A21" s="4">
        <v>20</v>
      </c>
      <c r="B21" s="5"/>
      <c r="C21" s="5"/>
      <c r="D21" s="5"/>
      <c r="E21" s="5"/>
      <c r="F21" s="5"/>
      <c r="G21" s="5"/>
      <c r="H21" t="str">
        <f>IF(C21="","",IFERROR(VLOOKUP(C21,Menu!$B:$D,3,FALSE),0))</f>
        <v/>
      </c>
      <c r="I21" t="str">
        <f>IF(D21="","",IFERROR(VLOOKUP(D21,Menu!$B:$D,3,FALSE),0))</f>
        <v/>
      </c>
      <c r="J21" t="str">
        <f>IF(E21="","",IFERROR(VLOOKUP(E21,Menu!$B:$D,3,FALSE),0))</f>
        <v/>
      </c>
      <c r="K21" t="str">
        <f>IF(F21="","",IFERROR(VLOOKUP(F21,Menu!$B:$D,3,FALSE),0))</f>
        <v/>
      </c>
      <c r="L21" t="e">
        <f>+IF(B21&gt;0,Event!$B$11,(H21+I21+J21))</f>
        <v>#VALUE!</v>
      </c>
    </row>
    <row r="22" spans="1:12">
      <c r="A22" s="4">
        <v>21</v>
      </c>
      <c r="B22" s="5"/>
      <c r="C22" s="5"/>
      <c r="D22" s="5"/>
      <c r="E22" s="5"/>
      <c r="F22" s="5"/>
      <c r="G22" s="5"/>
      <c r="H22" t="str">
        <f>IF(C22="","",IFERROR(VLOOKUP(C22,Menu!$B:$D,3,FALSE),0))</f>
        <v/>
      </c>
      <c r="I22" t="str">
        <f>IF(D22="","",IFERROR(VLOOKUP(D22,Menu!$B:$D,3,FALSE),0))</f>
        <v/>
      </c>
      <c r="J22" t="str">
        <f>IF(E22="","",IFERROR(VLOOKUP(E22,Menu!$B:$D,3,FALSE),0))</f>
        <v/>
      </c>
      <c r="K22" t="str">
        <f>IF(F22="","",IFERROR(VLOOKUP(F22,Menu!$B:$D,3,FALSE),0))</f>
        <v/>
      </c>
      <c r="L22" t="e">
        <f>+IF(B22&gt;0,Event!$B$11,(H22+I22+J22))</f>
        <v>#VALUE!</v>
      </c>
    </row>
    <row r="23" spans="1:12">
      <c r="A23" s="4">
        <v>22</v>
      </c>
      <c r="B23" s="5"/>
      <c r="C23" s="5"/>
      <c r="D23" s="5"/>
      <c r="E23" s="5"/>
      <c r="F23" s="5"/>
      <c r="G23" s="5"/>
      <c r="H23" t="str">
        <f>IF(C23="","",IFERROR(VLOOKUP(C23,Menu!$B:$D,3,FALSE),0))</f>
        <v/>
      </c>
      <c r="I23" t="str">
        <f>IF(D23="","",IFERROR(VLOOKUP(D23,Menu!$B:$D,3,FALSE),0))</f>
        <v/>
      </c>
      <c r="J23" t="str">
        <f>IF(E23="","",IFERROR(VLOOKUP(E23,Menu!$B:$D,3,FALSE),0))</f>
        <v/>
      </c>
      <c r="K23" t="str">
        <f>IF(F23="","",IFERROR(VLOOKUP(F23,Menu!$B:$D,3,FALSE),0))</f>
        <v/>
      </c>
      <c r="L23" t="e">
        <f>+IF(B23&gt;0,Event!$B$11,(H23+I23+J23))</f>
        <v>#VALUE!</v>
      </c>
    </row>
    <row r="24" spans="1:12">
      <c r="A24" s="4">
        <v>23</v>
      </c>
      <c r="B24" s="5"/>
      <c r="C24" s="5"/>
      <c r="D24" s="5"/>
      <c r="E24" s="5"/>
      <c r="F24" s="5"/>
      <c r="G24" s="5"/>
      <c r="H24" t="str">
        <f>IF(C24="","",IFERROR(VLOOKUP(C24,Menu!$B:$D,3,FALSE),0))</f>
        <v/>
      </c>
      <c r="I24" t="str">
        <f>IF(D24="","",IFERROR(VLOOKUP(D24,Menu!$B:$D,3,FALSE),0))</f>
        <v/>
      </c>
      <c r="J24" t="str">
        <f>IF(E24="","",IFERROR(VLOOKUP(E24,Menu!$B:$D,3,FALSE),0))</f>
        <v/>
      </c>
      <c r="K24" t="str">
        <f>IF(F24="","",IFERROR(VLOOKUP(F24,Menu!$B:$D,3,FALSE),0))</f>
        <v/>
      </c>
      <c r="L24" t="e">
        <f>+IF(B24&gt;0,Event!$B$11,(H24+I24+J24))</f>
        <v>#VALUE!</v>
      </c>
    </row>
    <row r="25" spans="1:12">
      <c r="A25" s="4">
        <v>24</v>
      </c>
      <c r="B25" s="5"/>
      <c r="C25" s="5"/>
      <c r="D25" s="5"/>
      <c r="E25" s="5"/>
      <c r="F25" s="5"/>
      <c r="G25" s="5"/>
      <c r="H25" t="str">
        <f>IF(C25="","",IFERROR(VLOOKUP(C25,Menu!$B:$D,3,FALSE),0))</f>
        <v/>
      </c>
      <c r="I25" t="str">
        <f>IF(D25="","",IFERROR(VLOOKUP(D25,Menu!$B:$D,3,FALSE),0))</f>
        <v/>
      </c>
      <c r="J25" t="str">
        <f>IF(E25="","",IFERROR(VLOOKUP(E25,Menu!$B:$D,3,FALSE),0))</f>
        <v/>
      </c>
      <c r="K25" t="str">
        <f>IF(F25="","",IFERROR(VLOOKUP(F25,Menu!$B:$D,3,FALSE),0))</f>
        <v/>
      </c>
      <c r="L25" t="e">
        <f>+IF(B25&gt;0,Event!$B$11,(H25+I25+J25))</f>
        <v>#VALUE!</v>
      </c>
    </row>
    <row r="26" spans="1:12">
      <c r="A26" s="4">
        <v>25</v>
      </c>
      <c r="B26" s="5"/>
      <c r="C26" s="5"/>
      <c r="D26" s="5"/>
      <c r="E26" s="5"/>
      <c r="F26" s="5"/>
      <c r="G26" s="5"/>
      <c r="H26" t="str">
        <f>IF(C26="","",IFERROR(VLOOKUP(C26,Menu!$B:$D,3,FALSE),0))</f>
        <v/>
      </c>
      <c r="I26" t="str">
        <f>IF(D26="","",IFERROR(VLOOKUP(D26,Menu!$B:$D,3,FALSE),0))</f>
        <v/>
      </c>
      <c r="J26" t="str">
        <f>IF(E26="","",IFERROR(VLOOKUP(E26,Menu!$B:$D,3,FALSE),0))</f>
        <v/>
      </c>
      <c r="K26" t="str">
        <f>IF(F26="","",IFERROR(VLOOKUP(F26,Menu!$B:$D,3,FALSE),0))</f>
        <v/>
      </c>
      <c r="L26" t="e">
        <f>+IF(B26&gt;0,Event!$B$11,(H26+I26+J26))</f>
        <v>#VALUE!</v>
      </c>
    </row>
    <row r="27" spans="1:12">
      <c r="A27" s="4">
        <v>26</v>
      </c>
      <c r="B27" s="5"/>
      <c r="C27" s="5"/>
      <c r="D27" s="5"/>
      <c r="E27" s="5"/>
      <c r="F27" s="5"/>
      <c r="G27" s="5"/>
      <c r="H27" t="str">
        <f>IF(C27="","",IFERROR(VLOOKUP(C27,Menu!$B:$D,3,FALSE),0))</f>
        <v/>
      </c>
      <c r="I27" t="str">
        <f>IF(D27="","",IFERROR(VLOOKUP(D27,Menu!$B:$D,3,FALSE),0))</f>
        <v/>
      </c>
      <c r="J27" t="str">
        <f>IF(E27="","",IFERROR(VLOOKUP(E27,Menu!$B:$D,3,FALSE),0))</f>
        <v/>
      </c>
      <c r="K27" t="str">
        <f>IF(F27="","",IFERROR(VLOOKUP(F27,Menu!$B:$D,3,FALSE),0))</f>
        <v/>
      </c>
      <c r="L27" t="e">
        <f>+IF(B27&gt;0,Event!$B$11,(H27+I27+J27))</f>
        <v>#VALUE!</v>
      </c>
    </row>
    <row r="28" spans="1:12">
      <c r="A28" s="4">
        <v>27</v>
      </c>
      <c r="B28" s="5"/>
      <c r="C28" s="5"/>
      <c r="D28" s="5"/>
      <c r="E28" s="5"/>
      <c r="F28" s="5"/>
      <c r="G28" s="5"/>
      <c r="H28" t="str">
        <f>IF(C28="","",IFERROR(VLOOKUP(C28,Menu!$B:$D,3,FALSE),0))</f>
        <v/>
      </c>
      <c r="I28" t="str">
        <f>IF(D28="","",IFERROR(VLOOKUP(D28,Menu!$B:$D,3,FALSE),0))</f>
        <v/>
      </c>
      <c r="J28" t="str">
        <f>IF(E28="","",IFERROR(VLOOKUP(E28,Menu!$B:$D,3,FALSE),0))</f>
        <v/>
      </c>
      <c r="K28" t="str">
        <f>IF(F28="","",IFERROR(VLOOKUP(F28,Menu!$B:$D,3,FALSE),0))</f>
        <v/>
      </c>
      <c r="L28" t="e">
        <f>+IF(B28&gt;0,Event!$B$11,(H28+I28+J28))</f>
        <v>#VALUE!</v>
      </c>
    </row>
    <row r="29" spans="1:12">
      <c r="A29" s="4">
        <v>28</v>
      </c>
      <c r="B29" s="5"/>
      <c r="C29" s="5"/>
      <c r="D29" s="5"/>
      <c r="E29" s="5"/>
      <c r="F29" s="5"/>
      <c r="G29" s="5"/>
      <c r="H29" t="str">
        <f>IF(C29="","",IFERROR(VLOOKUP(C29,Menu!$B:$D,3,FALSE),0))</f>
        <v/>
      </c>
      <c r="I29" t="str">
        <f>IF(D29="","",IFERROR(VLOOKUP(D29,Menu!$B:$D,3,FALSE),0))</f>
        <v/>
      </c>
      <c r="J29" t="str">
        <f>IF(E29="","",IFERROR(VLOOKUP(E29,Menu!$B:$D,3,FALSE),0))</f>
        <v/>
      </c>
      <c r="K29" t="str">
        <f>IF(F29="","",IFERROR(VLOOKUP(F29,Menu!$B:$D,3,FALSE),0))</f>
        <v/>
      </c>
      <c r="L29" t="e">
        <f>+IF(B29&gt;0,Event!$B$11,(H29+I29+J29))</f>
        <v>#VALUE!</v>
      </c>
    </row>
    <row r="30" spans="1:12">
      <c r="A30" s="4">
        <v>29</v>
      </c>
      <c r="B30" s="5"/>
      <c r="C30" s="5"/>
      <c r="D30" s="5"/>
      <c r="E30" s="5"/>
      <c r="F30" s="5"/>
      <c r="G30" s="5"/>
      <c r="H30" t="str">
        <f>IF(C30="","",IFERROR(VLOOKUP(C30,Menu!$B:$D,3,FALSE),0))</f>
        <v/>
      </c>
      <c r="I30" t="str">
        <f>IF(D30="","",IFERROR(VLOOKUP(D30,Menu!$B:$D,3,FALSE),0))</f>
        <v/>
      </c>
      <c r="J30" t="str">
        <f>IF(E30="","",IFERROR(VLOOKUP(E30,Menu!$B:$D,3,FALSE),0))</f>
        <v/>
      </c>
      <c r="K30" t="str">
        <f>IF(F30="","",IFERROR(VLOOKUP(F30,Menu!$B:$D,3,FALSE),0))</f>
        <v/>
      </c>
      <c r="L30" t="e">
        <f>+IF(B30&gt;0,Event!$B$11,(H30+I30+J30))</f>
        <v>#VALUE!</v>
      </c>
    </row>
    <row r="31" spans="1:12">
      <c r="A31" s="4">
        <v>30</v>
      </c>
      <c r="B31" s="5"/>
      <c r="C31" s="5"/>
      <c r="D31" s="5"/>
      <c r="E31" s="5"/>
      <c r="F31" s="5"/>
      <c r="G31" s="5"/>
      <c r="H31" t="str">
        <f>IF(C31="","",IFERROR(VLOOKUP(C31,Menu!$B:$D,3,FALSE),0))</f>
        <v/>
      </c>
      <c r="I31" t="str">
        <f>IF(D31="","",IFERROR(VLOOKUP(D31,Menu!$B:$D,3,FALSE),0))</f>
        <v/>
      </c>
      <c r="J31" t="str">
        <f>IF(E31="","",IFERROR(VLOOKUP(E31,Menu!$B:$D,3,FALSE),0))</f>
        <v/>
      </c>
      <c r="K31" t="str">
        <f>IF(F31="","",IFERROR(VLOOKUP(F31,Menu!$B:$D,3,FALSE),0))</f>
        <v/>
      </c>
      <c r="L31" t="e">
        <f>+IF(B31&gt;0,Event!$B$11,(H31+I31+J31))</f>
        <v>#VALUE!</v>
      </c>
    </row>
    <row r="32" spans="1:12">
      <c r="L32">
        <f>+IF(B32&gt;0,Event!$B$11,(H32+I32+J32))</f>
        <v>0</v>
      </c>
    </row>
    <row r="33" spans="11:12">
      <c r="K33" s="2" t="s">
        <v>62</v>
      </c>
      <c r="L33" s="2" t="e">
        <f>SUM(L2:L32)</f>
        <v>#VALUE!</v>
      </c>
    </row>
  </sheetData>
  <sheetProtection algorithmName="SHA-512" hashValue="6j7z3FkfvNbG3PGSN9ZTdq4Zg1iWDvzQtPLnKAeRNybJn2DlvmZhc0BF6DNV6ksEboky+YVuOyx4+r5PrM8Hwg==" saltValue="xZmCSMeGKSk6HasfVlDQUA==" spinCount="100000" sheet="1" objects="1" scenarios="1"/>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Lists!$A$2:$A$300</xm:f>
          </x14:formula1>
          <xm:sqref>C2:C33</xm:sqref>
        </x14:dataValidation>
        <x14:dataValidation type="list" allowBlank="1" showInputMessage="1" showErrorMessage="1" xr:uid="{00000000-0002-0000-0500-000001000000}">
          <x14:formula1>
            <xm:f>Lists!$B$2:$B$300</xm:f>
          </x14:formula1>
          <xm:sqref>D2:D33</xm:sqref>
        </x14:dataValidation>
        <x14:dataValidation type="list" allowBlank="1" showInputMessage="1" showErrorMessage="1" xr:uid="{00000000-0002-0000-0500-000002000000}">
          <x14:formula1>
            <xm:f>Lists!$C$2:$C$300</xm:f>
          </x14:formula1>
          <xm:sqref>E2:E33</xm:sqref>
        </x14:dataValidation>
        <x14:dataValidation type="list" allowBlank="1" showInputMessage="1" showErrorMessage="1" xr:uid="{00000000-0002-0000-0500-000003000000}">
          <x14:formula1>
            <xm:f>Lists!$D$2:$D$300</xm:f>
          </x14:formula1>
          <xm:sqref>F2:F33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51"/>
  <sheetViews>
    <sheetView workbookViewId="0">
      <pane ySplit="1" topLeftCell="A2" activePane="bottomLeft" state="frozen"/>
      <selection activeCell="A16" sqref="A16"/>
      <selection pane="bottomLeft" activeCell="A16" sqref="A16"/>
    </sheetView>
  </sheetViews>
  <sheetFormatPr defaultRowHeight="15"/>
  <cols>
    <col min="1" max="1" width="14" customWidth="1"/>
    <col min="2" max="2" width="46" customWidth="1"/>
    <col min="3" max="3" width="10" customWidth="1"/>
    <col min="4" max="4" width="8" customWidth="1"/>
    <col min="5" max="5" width="12" customWidth="1"/>
  </cols>
  <sheetData>
    <row r="1" spans="1:5">
      <c r="A1" s="1" t="s">
        <v>16</v>
      </c>
      <c r="B1" s="1" t="s">
        <v>17</v>
      </c>
      <c r="C1" s="1" t="s">
        <v>19</v>
      </c>
      <c r="D1" s="1" t="s">
        <v>63</v>
      </c>
      <c r="E1" s="1" t="s">
        <v>64</v>
      </c>
    </row>
    <row r="2" spans="1:5">
      <c r="C2" t="str">
        <f>IF(B2="","",IFERROR(VLOOKUP(B2,Menu!$B:$D,3,FALSE),0))</f>
        <v/>
      </c>
      <c r="D2">
        <v>0</v>
      </c>
      <c r="E2" t="e">
        <f t="shared" ref="E2:E33" si="0">C2*D2</f>
        <v>#VALUE!</v>
      </c>
    </row>
    <row r="3" spans="1:5">
      <c r="C3" t="str">
        <f>IF(B3="","",IFERROR(VLOOKUP(B3,Menu!$B:$D,3,FALSE),0))</f>
        <v/>
      </c>
      <c r="D3">
        <v>0</v>
      </c>
      <c r="E3" t="e">
        <f t="shared" si="0"/>
        <v>#VALUE!</v>
      </c>
    </row>
    <row r="4" spans="1:5">
      <c r="C4" t="str">
        <f>IF(B4="","",IFERROR(VLOOKUP(B4,Menu!$B:$D,3,FALSE),0))</f>
        <v/>
      </c>
      <c r="D4">
        <v>0</v>
      </c>
      <c r="E4" t="e">
        <f t="shared" si="0"/>
        <v>#VALUE!</v>
      </c>
    </row>
    <row r="5" spans="1:5">
      <c r="C5" t="str">
        <f>IF(B5="","",IFERROR(VLOOKUP(B5,Menu!$B:$D,3,FALSE),0))</f>
        <v/>
      </c>
      <c r="D5">
        <v>0</v>
      </c>
      <c r="E5" t="e">
        <f t="shared" si="0"/>
        <v>#VALUE!</v>
      </c>
    </row>
    <row r="6" spans="1:5">
      <c r="C6" t="str">
        <f>IF(B6="","",IFERROR(VLOOKUP(B6,Menu!$B:$D,3,FALSE),0))</f>
        <v/>
      </c>
      <c r="D6">
        <v>0</v>
      </c>
      <c r="E6" t="e">
        <f t="shared" si="0"/>
        <v>#VALUE!</v>
      </c>
    </row>
    <row r="7" spans="1:5">
      <c r="C7" t="str">
        <f>IF(B7="","",IFERROR(VLOOKUP(B7,Menu!$B:$D,3,FALSE),0))</f>
        <v/>
      </c>
      <c r="D7">
        <v>0</v>
      </c>
      <c r="E7" t="e">
        <f t="shared" si="0"/>
        <v>#VALUE!</v>
      </c>
    </row>
    <row r="8" spans="1:5">
      <c r="C8" t="str">
        <f>IF(B8="","",IFERROR(VLOOKUP(B8,Menu!$B:$D,3,FALSE),0))</f>
        <v/>
      </c>
      <c r="D8">
        <v>0</v>
      </c>
      <c r="E8" t="e">
        <f t="shared" si="0"/>
        <v>#VALUE!</v>
      </c>
    </row>
    <row r="9" spans="1:5">
      <c r="C9" t="str">
        <f>IF(B9="","",IFERROR(VLOOKUP(B9,Menu!$B:$D,3,FALSE),0))</f>
        <v/>
      </c>
      <c r="D9">
        <v>0</v>
      </c>
      <c r="E9" t="e">
        <f t="shared" si="0"/>
        <v>#VALUE!</v>
      </c>
    </row>
    <row r="10" spans="1:5">
      <c r="C10" t="str">
        <f>IF(B10="","",IFERROR(VLOOKUP(B10,Menu!$B:$D,3,FALSE),0))</f>
        <v/>
      </c>
      <c r="D10">
        <v>0</v>
      </c>
      <c r="E10" t="e">
        <f t="shared" si="0"/>
        <v>#VALUE!</v>
      </c>
    </row>
    <row r="11" spans="1:5">
      <c r="C11" t="str">
        <f>IF(B11="","",IFERROR(VLOOKUP(B11,Menu!$B:$D,3,FALSE),0))</f>
        <v/>
      </c>
      <c r="D11">
        <v>0</v>
      </c>
      <c r="E11" t="e">
        <f t="shared" si="0"/>
        <v>#VALUE!</v>
      </c>
    </row>
    <row r="12" spans="1:5">
      <c r="C12" t="str">
        <f>IF(B12="","",IFERROR(VLOOKUP(B12,Menu!$B:$D,3,FALSE),0))</f>
        <v/>
      </c>
      <c r="D12">
        <v>0</v>
      </c>
      <c r="E12" t="e">
        <f t="shared" si="0"/>
        <v>#VALUE!</v>
      </c>
    </row>
    <row r="13" spans="1:5">
      <c r="C13" t="str">
        <f>IF(B13="","",IFERROR(VLOOKUP(B13,Menu!$B:$D,3,FALSE),0))</f>
        <v/>
      </c>
      <c r="D13">
        <v>0</v>
      </c>
      <c r="E13" t="e">
        <f t="shared" si="0"/>
        <v>#VALUE!</v>
      </c>
    </row>
    <row r="14" spans="1:5">
      <c r="C14" t="str">
        <f>IF(B14="","",IFERROR(VLOOKUP(B14,Menu!$B:$D,3,FALSE),0))</f>
        <v/>
      </c>
      <c r="D14">
        <v>0</v>
      </c>
      <c r="E14" t="e">
        <f t="shared" si="0"/>
        <v>#VALUE!</v>
      </c>
    </row>
    <row r="15" spans="1:5">
      <c r="C15" t="str">
        <f>IF(B15="","",IFERROR(VLOOKUP(B15,Menu!$B:$D,3,FALSE),0))</f>
        <v/>
      </c>
      <c r="D15">
        <v>0</v>
      </c>
      <c r="E15" t="e">
        <f t="shared" si="0"/>
        <v>#VALUE!</v>
      </c>
    </row>
    <row r="16" spans="1:5">
      <c r="C16" t="str">
        <f>IF(B16="","",IFERROR(VLOOKUP(B16,Menu!$B:$D,3,FALSE),0))</f>
        <v/>
      </c>
      <c r="D16">
        <v>0</v>
      </c>
      <c r="E16" t="e">
        <f t="shared" si="0"/>
        <v>#VALUE!</v>
      </c>
    </row>
    <row r="17" spans="3:5">
      <c r="C17" t="str">
        <f>IF(B17="","",IFERROR(VLOOKUP(B17,Menu!$B:$D,3,FALSE),0))</f>
        <v/>
      </c>
      <c r="D17">
        <v>0</v>
      </c>
      <c r="E17" t="e">
        <f t="shared" si="0"/>
        <v>#VALUE!</v>
      </c>
    </row>
    <row r="18" spans="3:5">
      <c r="C18" t="str">
        <f>IF(B18="","",IFERROR(VLOOKUP(B18,Menu!$B:$D,3,FALSE),0))</f>
        <v/>
      </c>
      <c r="D18">
        <v>0</v>
      </c>
      <c r="E18" t="e">
        <f t="shared" si="0"/>
        <v>#VALUE!</v>
      </c>
    </row>
    <row r="19" spans="3:5">
      <c r="C19" t="str">
        <f>IF(B19="","",IFERROR(VLOOKUP(B19,Menu!$B:$D,3,FALSE),0))</f>
        <v/>
      </c>
      <c r="D19">
        <v>0</v>
      </c>
      <c r="E19" t="e">
        <f t="shared" si="0"/>
        <v>#VALUE!</v>
      </c>
    </row>
    <row r="20" spans="3:5">
      <c r="C20" t="str">
        <f>IF(B20="","",IFERROR(VLOOKUP(B20,Menu!$B:$D,3,FALSE),0))</f>
        <v/>
      </c>
      <c r="D20">
        <v>0</v>
      </c>
      <c r="E20" t="e">
        <f t="shared" si="0"/>
        <v>#VALUE!</v>
      </c>
    </row>
    <row r="21" spans="3:5">
      <c r="C21" t="str">
        <f>IF(B21="","",IFERROR(VLOOKUP(B21,Menu!$B:$D,3,FALSE),0))</f>
        <v/>
      </c>
      <c r="D21">
        <v>0</v>
      </c>
      <c r="E21" t="e">
        <f t="shared" si="0"/>
        <v>#VALUE!</v>
      </c>
    </row>
    <row r="22" spans="3:5">
      <c r="C22" t="str">
        <f>IF(B22="","",IFERROR(VLOOKUP(B22,Menu!$B:$D,3,FALSE),0))</f>
        <v/>
      </c>
      <c r="D22">
        <v>0</v>
      </c>
      <c r="E22" t="e">
        <f t="shared" si="0"/>
        <v>#VALUE!</v>
      </c>
    </row>
    <row r="23" spans="3:5">
      <c r="C23" t="str">
        <f>IF(B23="","",IFERROR(VLOOKUP(B23,Menu!$B:$D,3,FALSE),0))</f>
        <v/>
      </c>
      <c r="D23">
        <v>0</v>
      </c>
      <c r="E23" t="e">
        <f t="shared" si="0"/>
        <v>#VALUE!</v>
      </c>
    </row>
    <row r="24" spans="3:5">
      <c r="C24" t="str">
        <f>IF(B24="","",IFERROR(VLOOKUP(B24,Menu!$B:$D,3,FALSE),0))</f>
        <v/>
      </c>
      <c r="D24">
        <v>0</v>
      </c>
      <c r="E24" t="e">
        <f t="shared" si="0"/>
        <v>#VALUE!</v>
      </c>
    </row>
    <row r="25" spans="3:5">
      <c r="C25" t="str">
        <f>IF(B25="","",IFERROR(VLOOKUP(B25,Menu!$B:$D,3,FALSE),0))</f>
        <v/>
      </c>
      <c r="D25">
        <v>0</v>
      </c>
      <c r="E25" t="e">
        <f t="shared" si="0"/>
        <v>#VALUE!</v>
      </c>
    </row>
    <row r="26" spans="3:5">
      <c r="C26" t="str">
        <f>IF(B26="","",IFERROR(VLOOKUP(B26,Menu!$B:$D,3,FALSE),0))</f>
        <v/>
      </c>
      <c r="D26">
        <v>0</v>
      </c>
      <c r="E26" t="e">
        <f t="shared" si="0"/>
        <v>#VALUE!</v>
      </c>
    </row>
    <row r="27" spans="3:5">
      <c r="C27" t="str">
        <f>IF(B27="","",IFERROR(VLOOKUP(B27,Menu!$B:$D,3,FALSE),0))</f>
        <v/>
      </c>
      <c r="D27">
        <v>0</v>
      </c>
      <c r="E27" t="e">
        <f t="shared" si="0"/>
        <v>#VALUE!</v>
      </c>
    </row>
    <row r="28" spans="3:5">
      <c r="C28" t="str">
        <f>IF(B28="","",IFERROR(VLOOKUP(B28,Menu!$B:$D,3,FALSE),0))</f>
        <v/>
      </c>
      <c r="D28">
        <v>0</v>
      </c>
      <c r="E28" t="e">
        <f t="shared" si="0"/>
        <v>#VALUE!</v>
      </c>
    </row>
    <row r="29" spans="3:5">
      <c r="C29" t="str">
        <f>IF(B29="","",IFERROR(VLOOKUP(B29,Menu!$B:$D,3,FALSE),0))</f>
        <v/>
      </c>
      <c r="D29">
        <v>0</v>
      </c>
      <c r="E29" t="e">
        <f t="shared" si="0"/>
        <v>#VALUE!</v>
      </c>
    </row>
    <row r="30" spans="3:5">
      <c r="C30" t="str">
        <f>IF(B30="","",IFERROR(VLOOKUP(B30,Menu!$B:$D,3,FALSE),0))</f>
        <v/>
      </c>
      <c r="D30">
        <v>0</v>
      </c>
      <c r="E30" t="e">
        <f t="shared" si="0"/>
        <v>#VALUE!</v>
      </c>
    </row>
    <row r="31" spans="3:5">
      <c r="C31" t="str">
        <f>IF(B31="","",IFERROR(VLOOKUP(B31,Menu!$B:$D,3,FALSE),0))</f>
        <v/>
      </c>
      <c r="D31">
        <v>0</v>
      </c>
      <c r="E31" t="e">
        <f t="shared" si="0"/>
        <v>#VALUE!</v>
      </c>
    </row>
    <row r="32" spans="3:5">
      <c r="C32" t="str">
        <f>IF(B32="","",IFERROR(VLOOKUP(B32,Menu!$B:$D,3,FALSE),0))</f>
        <v/>
      </c>
      <c r="D32">
        <v>0</v>
      </c>
      <c r="E32" t="e">
        <f t="shared" si="0"/>
        <v>#VALUE!</v>
      </c>
    </row>
    <row r="33" spans="3:5">
      <c r="C33" t="str">
        <f>IF(B33="","",IFERROR(VLOOKUP(B33,Menu!$B:$D,3,FALSE),0))</f>
        <v/>
      </c>
      <c r="D33">
        <v>0</v>
      </c>
      <c r="E33" t="e">
        <f t="shared" si="0"/>
        <v>#VALUE!</v>
      </c>
    </row>
    <row r="34" spans="3:5">
      <c r="C34" t="str">
        <f>IF(B34="","",IFERROR(VLOOKUP(B34,Menu!$B:$D,3,FALSE),0))</f>
        <v/>
      </c>
      <c r="D34">
        <v>0</v>
      </c>
      <c r="E34" t="e">
        <f t="shared" ref="E34:E65" si="1">C34*D34</f>
        <v>#VALUE!</v>
      </c>
    </row>
    <row r="35" spans="3:5">
      <c r="C35" t="str">
        <f>IF(B35="","",IFERROR(VLOOKUP(B35,Menu!$B:$D,3,FALSE),0))</f>
        <v/>
      </c>
      <c r="D35">
        <v>0</v>
      </c>
      <c r="E35" t="e">
        <f t="shared" si="1"/>
        <v>#VALUE!</v>
      </c>
    </row>
    <row r="36" spans="3:5">
      <c r="C36" t="str">
        <f>IF(B36="","",IFERROR(VLOOKUP(B36,Menu!$B:$D,3,FALSE),0))</f>
        <v/>
      </c>
      <c r="D36">
        <v>0</v>
      </c>
      <c r="E36" t="e">
        <f t="shared" si="1"/>
        <v>#VALUE!</v>
      </c>
    </row>
    <row r="37" spans="3:5">
      <c r="C37" t="str">
        <f>IF(B37="","",IFERROR(VLOOKUP(B37,Menu!$B:$D,3,FALSE),0))</f>
        <v/>
      </c>
      <c r="D37">
        <v>0</v>
      </c>
      <c r="E37" t="e">
        <f t="shared" si="1"/>
        <v>#VALUE!</v>
      </c>
    </row>
    <row r="38" spans="3:5">
      <c r="C38" t="str">
        <f>IF(B38="","",IFERROR(VLOOKUP(B38,Menu!$B:$D,3,FALSE),0))</f>
        <v/>
      </c>
      <c r="D38">
        <v>0</v>
      </c>
      <c r="E38" t="e">
        <f t="shared" si="1"/>
        <v>#VALUE!</v>
      </c>
    </row>
    <row r="39" spans="3:5">
      <c r="C39" t="str">
        <f>IF(B39="","",IFERROR(VLOOKUP(B39,Menu!$B:$D,3,FALSE),0))</f>
        <v/>
      </c>
      <c r="D39">
        <v>0</v>
      </c>
      <c r="E39" t="e">
        <f t="shared" si="1"/>
        <v>#VALUE!</v>
      </c>
    </row>
    <row r="40" spans="3:5">
      <c r="C40" t="str">
        <f>IF(B40="","",IFERROR(VLOOKUP(B40,Menu!$B:$D,3,FALSE),0))</f>
        <v/>
      </c>
      <c r="D40">
        <v>0</v>
      </c>
      <c r="E40" t="e">
        <f t="shared" si="1"/>
        <v>#VALUE!</v>
      </c>
    </row>
    <row r="41" spans="3:5">
      <c r="C41" t="str">
        <f>IF(B41="","",IFERROR(VLOOKUP(B41,Menu!$B:$D,3,FALSE),0))</f>
        <v/>
      </c>
      <c r="D41">
        <v>0</v>
      </c>
      <c r="E41" t="e">
        <f t="shared" si="1"/>
        <v>#VALUE!</v>
      </c>
    </row>
    <row r="42" spans="3:5">
      <c r="C42" t="str">
        <f>IF(B42="","",IFERROR(VLOOKUP(B42,Menu!$B:$D,3,FALSE),0))</f>
        <v/>
      </c>
      <c r="D42">
        <v>0</v>
      </c>
      <c r="E42" t="e">
        <f t="shared" si="1"/>
        <v>#VALUE!</v>
      </c>
    </row>
    <row r="43" spans="3:5">
      <c r="C43" t="str">
        <f>IF(B43="","",IFERROR(VLOOKUP(B43,Menu!$B:$D,3,FALSE),0))</f>
        <v/>
      </c>
      <c r="D43">
        <v>0</v>
      </c>
      <c r="E43" t="e">
        <f t="shared" si="1"/>
        <v>#VALUE!</v>
      </c>
    </row>
    <row r="44" spans="3:5">
      <c r="C44" t="str">
        <f>IF(B44="","",IFERROR(VLOOKUP(B44,Menu!$B:$D,3,FALSE),0))</f>
        <v/>
      </c>
      <c r="D44">
        <v>0</v>
      </c>
      <c r="E44" t="e">
        <f t="shared" si="1"/>
        <v>#VALUE!</v>
      </c>
    </row>
    <row r="45" spans="3:5">
      <c r="C45" t="str">
        <f>IF(B45="","",IFERROR(VLOOKUP(B45,Menu!$B:$D,3,FALSE),0))</f>
        <v/>
      </c>
      <c r="D45">
        <v>0</v>
      </c>
      <c r="E45" t="e">
        <f t="shared" si="1"/>
        <v>#VALUE!</v>
      </c>
    </row>
    <row r="46" spans="3:5">
      <c r="C46" t="str">
        <f>IF(B46="","",IFERROR(VLOOKUP(B46,Menu!$B:$D,3,FALSE),0))</f>
        <v/>
      </c>
      <c r="D46">
        <v>0</v>
      </c>
      <c r="E46" t="e">
        <f t="shared" si="1"/>
        <v>#VALUE!</v>
      </c>
    </row>
    <row r="47" spans="3:5">
      <c r="C47" t="str">
        <f>IF(B47="","",IFERROR(VLOOKUP(B47,Menu!$B:$D,3,FALSE),0))</f>
        <v/>
      </c>
      <c r="D47">
        <v>0</v>
      </c>
      <c r="E47" t="e">
        <f t="shared" si="1"/>
        <v>#VALUE!</v>
      </c>
    </row>
    <row r="48" spans="3:5">
      <c r="C48" t="str">
        <f>IF(B48="","",IFERROR(VLOOKUP(B48,Menu!$B:$D,3,FALSE),0))</f>
        <v/>
      </c>
      <c r="D48">
        <v>0</v>
      </c>
      <c r="E48" t="e">
        <f t="shared" si="1"/>
        <v>#VALUE!</v>
      </c>
    </row>
    <row r="49" spans="3:5">
      <c r="C49" t="str">
        <f>IF(B49="","",IFERROR(VLOOKUP(B49,Menu!$B:$D,3,FALSE),0))</f>
        <v/>
      </c>
      <c r="D49">
        <v>0</v>
      </c>
      <c r="E49" t="e">
        <f t="shared" si="1"/>
        <v>#VALUE!</v>
      </c>
    </row>
    <row r="50" spans="3:5">
      <c r="C50" t="str">
        <f>IF(B50="","",IFERROR(VLOOKUP(B50,Menu!$B:$D,3,FALSE),0))</f>
        <v/>
      </c>
      <c r="D50">
        <v>0</v>
      </c>
      <c r="E50" t="e">
        <f t="shared" si="1"/>
        <v>#VALUE!</v>
      </c>
    </row>
    <row r="51" spans="3:5">
      <c r="C51" t="str">
        <f>IF(B51="","",IFERROR(VLOOKUP(B51,Menu!$B:$D,3,FALSE),0))</f>
        <v/>
      </c>
      <c r="D51">
        <v>0</v>
      </c>
      <c r="E51" t="e">
        <f t="shared" si="1"/>
        <v>#VALUE!</v>
      </c>
    </row>
    <row r="52" spans="3:5">
      <c r="C52" t="str">
        <f>IF(B52="","",IFERROR(VLOOKUP(B52,Menu!$B:$D,3,FALSE),0))</f>
        <v/>
      </c>
      <c r="D52">
        <v>0</v>
      </c>
      <c r="E52" t="e">
        <f t="shared" si="1"/>
        <v>#VALUE!</v>
      </c>
    </row>
    <row r="53" spans="3:5">
      <c r="C53" t="str">
        <f>IF(B53="","",IFERROR(VLOOKUP(B53,Menu!$B:$D,3,FALSE),0))</f>
        <v/>
      </c>
      <c r="D53">
        <v>0</v>
      </c>
      <c r="E53" t="e">
        <f t="shared" si="1"/>
        <v>#VALUE!</v>
      </c>
    </row>
    <row r="54" spans="3:5">
      <c r="C54" t="str">
        <f>IF(B54="","",IFERROR(VLOOKUP(B54,Menu!$B:$D,3,FALSE),0))</f>
        <v/>
      </c>
      <c r="D54">
        <v>0</v>
      </c>
      <c r="E54" t="e">
        <f t="shared" si="1"/>
        <v>#VALUE!</v>
      </c>
    </row>
    <row r="55" spans="3:5">
      <c r="C55" t="str">
        <f>IF(B55="","",IFERROR(VLOOKUP(B55,Menu!$B:$D,3,FALSE),0))</f>
        <v/>
      </c>
      <c r="D55">
        <v>0</v>
      </c>
      <c r="E55" t="e">
        <f t="shared" si="1"/>
        <v>#VALUE!</v>
      </c>
    </row>
    <row r="56" spans="3:5">
      <c r="C56" t="str">
        <f>IF(B56="","",IFERROR(VLOOKUP(B56,Menu!$B:$D,3,FALSE),0))</f>
        <v/>
      </c>
      <c r="D56">
        <v>0</v>
      </c>
      <c r="E56" t="e">
        <f t="shared" si="1"/>
        <v>#VALUE!</v>
      </c>
    </row>
    <row r="57" spans="3:5">
      <c r="C57" t="str">
        <f>IF(B57="","",IFERROR(VLOOKUP(B57,Menu!$B:$D,3,FALSE),0))</f>
        <v/>
      </c>
      <c r="D57">
        <v>0</v>
      </c>
      <c r="E57" t="e">
        <f t="shared" si="1"/>
        <v>#VALUE!</v>
      </c>
    </row>
    <row r="58" spans="3:5">
      <c r="C58" t="str">
        <f>IF(B58="","",IFERROR(VLOOKUP(B58,Menu!$B:$D,3,FALSE),0))</f>
        <v/>
      </c>
      <c r="D58">
        <v>0</v>
      </c>
      <c r="E58" t="e">
        <f t="shared" si="1"/>
        <v>#VALUE!</v>
      </c>
    </row>
    <row r="59" spans="3:5">
      <c r="C59" t="str">
        <f>IF(B59="","",IFERROR(VLOOKUP(B59,Menu!$B:$D,3,FALSE),0))</f>
        <v/>
      </c>
      <c r="D59">
        <v>0</v>
      </c>
      <c r="E59" t="e">
        <f t="shared" si="1"/>
        <v>#VALUE!</v>
      </c>
    </row>
    <row r="60" spans="3:5">
      <c r="C60" t="str">
        <f>IF(B60="","",IFERROR(VLOOKUP(B60,Menu!$B:$D,3,FALSE),0))</f>
        <v/>
      </c>
      <c r="D60">
        <v>0</v>
      </c>
      <c r="E60" t="e">
        <f t="shared" si="1"/>
        <v>#VALUE!</v>
      </c>
    </row>
    <row r="61" spans="3:5">
      <c r="C61" t="str">
        <f>IF(B61="","",IFERROR(VLOOKUP(B61,Menu!$B:$D,3,FALSE),0))</f>
        <v/>
      </c>
      <c r="D61">
        <v>0</v>
      </c>
      <c r="E61" t="e">
        <f t="shared" si="1"/>
        <v>#VALUE!</v>
      </c>
    </row>
    <row r="62" spans="3:5">
      <c r="C62" t="str">
        <f>IF(B62="","",IFERROR(VLOOKUP(B62,Menu!$B:$D,3,FALSE),0))</f>
        <v/>
      </c>
      <c r="D62">
        <v>0</v>
      </c>
      <c r="E62" t="e">
        <f t="shared" si="1"/>
        <v>#VALUE!</v>
      </c>
    </row>
    <row r="63" spans="3:5">
      <c r="C63" t="str">
        <f>IF(B63="","",IFERROR(VLOOKUP(B63,Menu!$B:$D,3,FALSE),0))</f>
        <v/>
      </c>
      <c r="D63">
        <v>0</v>
      </c>
      <c r="E63" t="e">
        <f t="shared" si="1"/>
        <v>#VALUE!</v>
      </c>
    </row>
    <row r="64" spans="3:5">
      <c r="C64" t="str">
        <f>IF(B64="","",IFERROR(VLOOKUP(B64,Menu!$B:$D,3,FALSE),0))</f>
        <v/>
      </c>
      <c r="D64">
        <v>0</v>
      </c>
      <c r="E64" t="e">
        <f t="shared" si="1"/>
        <v>#VALUE!</v>
      </c>
    </row>
    <row r="65" spans="3:5">
      <c r="C65" t="str">
        <f>IF(B65="","",IFERROR(VLOOKUP(B65,Menu!$B:$D,3,FALSE),0))</f>
        <v/>
      </c>
      <c r="D65">
        <v>0</v>
      </c>
      <c r="E65" t="e">
        <f t="shared" si="1"/>
        <v>#VALUE!</v>
      </c>
    </row>
    <row r="66" spans="3:5">
      <c r="C66" t="str">
        <f>IF(B66="","",IFERROR(VLOOKUP(B66,Menu!$B:$D,3,FALSE),0))</f>
        <v/>
      </c>
      <c r="D66">
        <v>0</v>
      </c>
      <c r="E66" t="e">
        <f t="shared" ref="E66:E97" si="2">C66*D66</f>
        <v>#VALUE!</v>
      </c>
    </row>
    <row r="67" spans="3:5">
      <c r="C67" t="str">
        <f>IF(B67="","",IFERROR(VLOOKUP(B67,Menu!$B:$D,3,FALSE),0))</f>
        <v/>
      </c>
      <c r="D67">
        <v>0</v>
      </c>
      <c r="E67" t="e">
        <f t="shared" si="2"/>
        <v>#VALUE!</v>
      </c>
    </row>
    <row r="68" spans="3:5">
      <c r="C68" t="str">
        <f>IF(B68="","",IFERROR(VLOOKUP(B68,Menu!$B:$D,3,FALSE),0))</f>
        <v/>
      </c>
      <c r="D68">
        <v>0</v>
      </c>
      <c r="E68" t="e">
        <f t="shared" si="2"/>
        <v>#VALUE!</v>
      </c>
    </row>
    <row r="69" spans="3:5">
      <c r="C69" t="str">
        <f>IF(B69="","",IFERROR(VLOOKUP(B69,Menu!$B:$D,3,FALSE),0))</f>
        <v/>
      </c>
      <c r="D69">
        <v>0</v>
      </c>
      <c r="E69" t="e">
        <f t="shared" si="2"/>
        <v>#VALUE!</v>
      </c>
    </row>
    <row r="70" spans="3:5">
      <c r="C70" t="str">
        <f>IF(B70="","",IFERROR(VLOOKUP(B70,Menu!$B:$D,3,FALSE),0))</f>
        <v/>
      </c>
      <c r="D70">
        <v>0</v>
      </c>
      <c r="E70" t="e">
        <f t="shared" si="2"/>
        <v>#VALUE!</v>
      </c>
    </row>
    <row r="71" spans="3:5">
      <c r="C71" t="str">
        <f>IF(B71="","",IFERROR(VLOOKUP(B71,Menu!$B:$D,3,FALSE),0))</f>
        <v/>
      </c>
      <c r="D71">
        <v>0</v>
      </c>
      <c r="E71" t="e">
        <f t="shared" si="2"/>
        <v>#VALUE!</v>
      </c>
    </row>
    <row r="72" spans="3:5">
      <c r="C72" t="str">
        <f>IF(B72="","",IFERROR(VLOOKUP(B72,Menu!$B:$D,3,FALSE),0))</f>
        <v/>
      </c>
      <c r="D72">
        <v>0</v>
      </c>
      <c r="E72" t="e">
        <f t="shared" si="2"/>
        <v>#VALUE!</v>
      </c>
    </row>
    <row r="73" spans="3:5">
      <c r="C73" t="str">
        <f>IF(B73="","",IFERROR(VLOOKUP(B73,Menu!$B:$D,3,FALSE),0))</f>
        <v/>
      </c>
      <c r="D73">
        <v>0</v>
      </c>
      <c r="E73" t="e">
        <f t="shared" si="2"/>
        <v>#VALUE!</v>
      </c>
    </row>
    <row r="74" spans="3:5">
      <c r="C74" t="str">
        <f>IF(B74="","",IFERROR(VLOOKUP(B74,Menu!$B:$D,3,FALSE),0))</f>
        <v/>
      </c>
      <c r="D74">
        <v>0</v>
      </c>
      <c r="E74" t="e">
        <f t="shared" si="2"/>
        <v>#VALUE!</v>
      </c>
    </row>
    <row r="75" spans="3:5">
      <c r="C75" t="str">
        <f>IF(B75="","",IFERROR(VLOOKUP(B75,Menu!$B:$D,3,FALSE),0))</f>
        <v/>
      </c>
      <c r="D75">
        <v>0</v>
      </c>
      <c r="E75" t="e">
        <f t="shared" si="2"/>
        <v>#VALUE!</v>
      </c>
    </row>
    <row r="76" spans="3:5">
      <c r="C76" t="str">
        <f>IF(B76="","",IFERROR(VLOOKUP(B76,Menu!$B:$D,3,FALSE),0))</f>
        <v/>
      </c>
      <c r="D76">
        <v>0</v>
      </c>
      <c r="E76" t="e">
        <f t="shared" si="2"/>
        <v>#VALUE!</v>
      </c>
    </row>
    <row r="77" spans="3:5">
      <c r="C77" t="str">
        <f>IF(B77="","",IFERROR(VLOOKUP(B77,Menu!$B:$D,3,FALSE),0))</f>
        <v/>
      </c>
      <c r="D77">
        <v>0</v>
      </c>
      <c r="E77" t="e">
        <f t="shared" si="2"/>
        <v>#VALUE!</v>
      </c>
    </row>
    <row r="78" spans="3:5">
      <c r="C78" t="str">
        <f>IF(B78="","",IFERROR(VLOOKUP(B78,Menu!$B:$D,3,FALSE),0))</f>
        <v/>
      </c>
      <c r="D78">
        <v>0</v>
      </c>
      <c r="E78" t="e">
        <f t="shared" si="2"/>
        <v>#VALUE!</v>
      </c>
    </row>
    <row r="79" spans="3:5">
      <c r="C79" t="str">
        <f>IF(B79="","",IFERROR(VLOOKUP(B79,Menu!$B:$D,3,FALSE),0))</f>
        <v/>
      </c>
      <c r="D79">
        <v>0</v>
      </c>
      <c r="E79" t="e">
        <f t="shared" si="2"/>
        <v>#VALUE!</v>
      </c>
    </row>
    <row r="80" spans="3:5">
      <c r="C80" t="str">
        <f>IF(B80="","",IFERROR(VLOOKUP(B80,Menu!$B:$D,3,FALSE),0))</f>
        <v/>
      </c>
      <c r="D80">
        <v>0</v>
      </c>
      <c r="E80" t="e">
        <f t="shared" si="2"/>
        <v>#VALUE!</v>
      </c>
    </row>
    <row r="81" spans="3:5">
      <c r="C81" t="str">
        <f>IF(B81="","",IFERROR(VLOOKUP(B81,Menu!$B:$D,3,FALSE),0))</f>
        <v/>
      </c>
      <c r="D81">
        <v>0</v>
      </c>
      <c r="E81" t="e">
        <f t="shared" si="2"/>
        <v>#VALUE!</v>
      </c>
    </row>
    <row r="82" spans="3:5">
      <c r="C82" t="str">
        <f>IF(B82="","",IFERROR(VLOOKUP(B82,Menu!$B:$D,3,FALSE),0))</f>
        <v/>
      </c>
      <c r="D82">
        <v>0</v>
      </c>
      <c r="E82" t="e">
        <f t="shared" si="2"/>
        <v>#VALUE!</v>
      </c>
    </row>
    <row r="83" spans="3:5">
      <c r="C83" t="str">
        <f>IF(B83="","",IFERROR(VLOOKUP(B83,Menu!$B:$D,3,FALSE),0))</f>
        <v/>
      </c>
      <c r="D83">
        <v>0</v>
      </c>
      <c r="E83" t="e">
        <f t="shared" si="2"/>
        <v>#VALUE!</v>
      </c>
    </row>
    <row r="84" spans="3:5">
      <c r="C84" t="str">
        <f>IF(B84="","",IFERROR(VLOOKUP(B84,Menu!$B:$D,3,FALSE),0))</f>
        <v/>
      </c>
      <c r="D84">
        <v>0</v>
      </c>
      <c r="E84" t="e">
        <f t="shared" si="2"/>
        <v>#VALUE!</v>
      </c>
    </row>
    <row r="85" spans="3:5">
      <c r="C85" t="str">
        <f>IF(B85="","",IFERROR(VLOOKUP(B85,Menu!$B:$D,3,FALSE),0))</f>
        <v/>
      </c>
      <c r="D85">
        <v>0</v>
      </c>
      <c r="E85" t="e">
        <f t="shared" si="2"/>
        <v>#VALUE!</v>
      </c>
    </row>
    <row r="86" spans="3:5">
      <c r="C86" t="str">
        <f>IF(B86="","",IFERROR(VLOOKUP(B86,Menu!$B:$D,3,FALSE),0))</f>
        <v/>
      </c>
      <c r="D86">
        <v>0</v>
      </c>
      <c r="E86" t="e">
        <f t="shared" si="2"/>
        <v>#VALUE!</v>
      </c>
    </row>
    <row r="87" spans="3:5">
      <c r="C87" t="str">
        <f>IF(B87="","",IFERROR(VLOOKUP(B87,Menu!$B:$D,3,FALSE),0))</f>
        <v/>
      </c>
      <c r="D87">
        <v>0</v>
      </c>
      <c r="E87" t="e">
        <f t="shared" si="2"/>
        <v>#VALUE!</v>
      </c>
    </row>
    <row r="88" spans="3:5">
      <c r="C88" t="str">
        <f>IF(B88="","",IFERROR(VLOOKUP(B88,Menu!$B:$D,3,FALSE),0))</f>
        <v/>
      </c>
      <c r="D88">
        <v>0</v>
      </c>
      <c r="E88" t="e">
        <f t="shared" si="2"/>
        <v>#VALUE!</v>
      </c>
    </row>
    <row r="89" spans="3:5">
      <c r="C89" t="str">
        <f>IF(B89="","",IFERROR(VLOOKUP(B89,Menu!$B:$D,3,FALSE),0))</f>
        <v/>
      </c>
      <c r="D89">
        <v>0</v>
      </c>
      <c r="E89" t="e">
        <f t="shared" si="2"/>
        <v>#VALUE!</v>
      </c>
    </row>
    <row r="90" spans="3:5">
      <c r="C90" t="str">
        <f>IF(B90="","",IFERROR(VLOOKUP(B90,Menu!$B:$D,3,FALSE),0))</f>
        <v/>
      </c>
      <c r="D90">
        <v>0</v>
      </c>
      <c r="E90" t="e">
        <f t="shared" si="2"/>
        <v>#VALUE!</v>
      </c>
    </row>
    <row r="91" spans="3:5">
      <c r="C91" t="str">
        <f>IF(B91="","",IFERROR(VLOOKUP(B91,Menu!$B:$D,3,FALSE),0))</f>
        <v/>
      </c>
      <c r="D91">
        <v>0</v>
      </c>
      <c r="E91" t="e">
        <f t="shared" si="2"/>
        <v>#VALUE!</v>
      </c>
    </row>
    <row r="92" spans="3:5">
      <c r="C92" t="str">
        <f>IF(B92="","",IFERROR(VLOOKUP(B92,Menu!$B:$D,3,FALSE),0))</f>
        <v/>
      </c>
      <c r="D92">
        <v>0</v>
      </c>
      <c r="E92" t="e">
        <f t="shared" si="2"/>
        <v>#VALUE!</v>
      </c>
    </row>
    <row r="93" spans="3:5">
      <c r="C93" t="str">
        <f>IF(B93="","",IFERROR(VLOOKUP(B93,Menu!$B:$D,3,FALSE),0))</f>
        <v/>
      </c>
      <c r="D93">
        <v>0</v>
      </c>
      <c r="E93" t="e">
        <f t="shared" si="2"/>
        <v>#VALUE!</v>
      </c>
    </row>
    <row r="94" spans="3:5">
      <c r="C94" t="str">
        <f>IF(B94="","",IFERROR(VLOOKUP(B94,Menu!$B:$D,3,FALSE),0))</f>
        <v/>
      </c>
      <c r="D94">
        <v>0</v>
      </c>
      <c r="E94" t="e">
        <f t="shared" si="2"/>
        <v>#VALUE!</v>
      </c>
    </row>
    <row r="95" spans="3:5">
      <c r="C95" t="str">
        <f>IF(B95="","",IFERROR(VLOOKUP(B95,Menu!$B:$D,3,FALSE),0))</f>
        <v/>
      </c>
      <c r="D95">
        <v>0</v>
      </c>
      <c r="E95" t="e">
        <f t="shared" si="2"/>
        <v>#VALUE!</v>
      </c>
    </row>
    <row r="96" spans="3:5">
      <c r="C96" t="str">
        <f>IF(B96="","",IFERROR(VLOOKUP(B96,Menu!$B:$D,3,FALSE),0))</f>
        <v/>
      </c>
      <c r="D96">
        <v>0</v>
      </c>
      <c r="E96" t="e">
        <f t="shared" si="2"/>
        <v>#VALUE!</v>
      </c>
    </row>
    <row r="97" spans="3:5">
      <c r="C97" t="str">
        <f>IF(B97="","",IFERROR(VLOOKUP(B97,Menu!$B:$D,3,FALSE),0))</f>
        <v/>
      </c>
      <c r="D97">
        <v>0</v>
      </c>
      <c r="E97" t="e">
        <f t="shared" si="2"/>
        <v>#VALUE!</v>
      </c>
    </row>
    <row r="98" spans="3:5">
      <c r="C98" t="str">
        <f>IF(B98="","",IFERROR(VLOOKUP(B98,Menu!$B:$D,3,FALSE),0))</f>
        <v/>
      </c>
      <c r="D98">
        <v>0</v>
      </c>
      <c r="E98" t="e">
        <f t="shared" ref="E98:E129" si="3">C98*D98</f>
        <v>#VALUE!</v>
      </c>
    </row>
    <row r="99" spans="3:5">
      <c r="C99" t="str">
        <f>IF(B99="","",IFERROR(VLOOKUP(B99,Menu!$B:$D,3,FALSE),0))</f>
        <v/>
      </c>
      <c r="D99">
        <v>0</v>
      </c>
      <c r="E99" t="e">
        <f t="shared" si="3"/>
        <v>#VALUE!</v>
      </c>
    </row>
    <row r="100" spans="3:5">
      <c r="C100" t="str">
        <f>IF(B100="","",IFERROR(VLOOKUP(B100,Menu!$B:$D,3,FALSE),0))</f>
        <v/>
      </c>
      <c r="D100">
        <v>0</v>
      </c>
      <c r="E100" t="e">
        <f t="shared" si="3"/>
        <v>#VALUE!</v>
      </c>
    </row>
    <row r="101" spans="3:5">
      <c r="C101" t="str">
        <f>IF(B101="","",IFERROR(VLOOKUP(B101,Menu!$B:$D,3,FALSE),0))</f>
        <v/>
      </c>
      <c r="D101">
        <v>0</v>
      </c>
      <c r="E101" t="e">
        <f t="shared" si="3"/>
        <v>#VALUE!</v>
      </c>
    </row>
    <row r="102" spans="3:5">
      <c r="C102" t="str">
        <f>IF(B102="","",IFERROR(VLOOKUP(B102,Menu!$B:$D,3,FALSE),0))</f>
        <v/>
      </c>
      <c r="D102">
        <v>0</v>
      </c>
      <c r="E102" t="e">
        <f t="shared" si="3"/>
        <v>#VALUE!</v>
      </c>
    </row>
    <row r="103" spans="3:5">
      <c r="C103" t="str">
        <f>IF(B103="","",IFERROR(VLOOKUP(B103,Menu!$B:$D,3,FALSE),0))</f>
        <v/>
      </c>
      <c r="D103">
        <v>0</v>
      </c>
      <c r="E103" t="e">
        <f t="shared" si="3"/>
        <v>#VALUE!</v>
      </c>
    </row>
    <row r="104" spans="3:5">
      <c r="C104" t="str">
        <f>IF(B104="","",IFERROR(VLOOKUP(B104,Menu!$B:$D,3,FALSE),0))</f>
        <v/>
      </c>
      <c r="D104">
        <v>0</v>
      </c>
      <c r="E104" t="e">
        <f t="shared" si="3"/>
        <v>#VALUE!</v>
      </c>
    </row>
    <row r="105" spans="3:5">
      <c r="C105" t="str">
        <f>IF(B105="","",IFERROR(VLOOKUP(B105,Menu!$B:$D,3,FALSE),0))</f>
        <v/>
      </c>
      <c r="D105">
        <v>0</v>
      </c>
      <c r="E105" t="e">
        <f t="shared" si="3"/>
        <v>#VALUE!</v>
      </c>
    </row>
    <row r="106" spans="3:5">
      <c r="C106" t="str">
        <f>IF(B106="","",IFERROR(VLOOKUP(B106,Menu!$B:$D,3,FALSE),0))</f>
        <v/>
      </c>
      <c r="D106">
        <v>0</v>
      </c>
      <c r="E106" t="e">
        <f t="shared" si="3"/>
        <v>#VALUE!</v>
      </c>
    </row>
    <row r="107" spans="3:5">
      <c r="C107" t="str">
        <f>IF(B107="","",IFERROR(VLOOKUP(B107,Menu!$B:$D,3,FALSE),0))</f>
        <v/>
      </c>
      <c r="D107">
        <v>0</v>
      </c>
      <c r="E107" t="e">
        <f t="shared" si="3"/>
        <v>#VALUE!</v>
      </c>
    </row>
    <row r="108" spans="3:5">
      <c r="C108" t="str">
        <f>IF(B108="","",IFERROR(VLOOKUP(B108,Menu!$B:$D,3,FALSE),0))</f>
        <v/>
      </c>
      <c r="D108">
        <v>0</v>
      </c>
      <c r="E108" t="e">
        <f t="shared" si="3"/>
        <v>#VALUE!</v>
      </c>
    </row>
    <row r="109" spans="3:5">
      <c r="C109" t="str">
        <f>IF(B109="","",IFERROR(VLOOKUP(B109,Menu!$B:$D,3,FALSE),0))</f>
        <v/>
      </c>
      <c r="D109">
        <v>0</v>
      </c>
      <c r="E109" t="e">
        <f t="shared" si="3"/>
        <v>#VALUE!</v>
      </c>
    </row>
    <row r="110" spans="3:5">
      <c r="C110" t="str">
        <f>IF(B110="","",IFERROR(VLOOKUP(B110,Menu!$B:$D,3,FALSE),0))</f>
        <v/>
      </c>
      <c r="D110">
        <v>0</v>
      </c>
      <c r="E110" t="e">
        <f t="shared" si="3"/>
        <v>#VALUE!</v>
      </c>
    </row>
    <row r="111" spans="3:5">
      <c r="C111" t="str">
        <f>IF(B111="","",IFERROR(VLOOKUP(B111,Menu!$B:$D,3,FALSE),0))</f>
        <v/>
      </c>
      <c r="D111">
        <v>0</v>
      </c>
      <c r="E111" t="e">
        <f t="shared" si="3"/>
        <v>#VALUE!</v>
      </c>
    </row>
    <row r="112" spans="3:5">
      <c r="C112" t="str">
        <f>IF(B112="","",IFERROR(VLOOKUP(B112,Menu!$B:$D,3,FALSE),0))</f>
        <v/>
      </c>
      <c r="D112">
        <v>0</v>
      </c>
      <c r="E112" t="e">
        <f t="shared" si="3"/>
        <v>#VALUE!</v>
      </c>
    </row>
    <row r="113" spans="3:5">
      <c r="C113" t="str">
        <f>IF(B113="","",IFERROR(VLOOKUP(B113,Menu!$B:$D,3,FALSE),0))</f>
        <v/>
      </c>
      <c r="D113">
        <v>0</v>
      </c>
      <c r="E113" t="e">
        <f t="shared" si="3"/>
        <v>#VALUE!</v>
      </c>
    </row>
    <row r="114" spans="3:5">
      <c r="C114" t="str">
        <f>IF(B114="","",IFERROR(VLOOKUP(B114,Menu!$B:$D,3,FALSE),0))</f>
        <v/>
      </c>
      <c r="D114">
        <v>0</v>
      </c>
      <c r="E114" t="e">
        <f t="shared" si="3"/>
        <v>#VALUE!</v>
      </c>
    </row>
    <row r="115" spans="3:5">
      <c r="C115" t="str">
        <f>IF(B115="","",IFERROR(VLOOKUP(B115,Menu!$B:$D,3,FALSE),0))</f>
        <v/>
      </c>
      <c r="D115">
        <v>0</v>
      </c>
      <c r="E115" t="e">
        <f t="shared" si="3"/>
        <v>#VALUE!</v>
      </c>
    </row>
    <row r="116" spans="3:5">
      <c r="C116" t="str">
        <f>IF(B116="","",IFERROR(VLOOKUP(B116,Menu!$B:$D,3,FALSE),0))</f>
        <v/>
      </c>
      <c r="D116">
        <v>0</v>
      </c>
      <c r="E116" t="e">
        <f t="shared" si="3"/>
        <v>#VALUE!</v>
      </c>
    </row>
    <row r="117" spans="3:5">
      <c r="C117" t="str">
        <f>IF(B117="","",IFERROR(VLOOKUP(B117,Menu!$B:$D,3,FALSE),0))</f>
        <v/>
      </c>
      <c r="D117">
        <v>0</v>
      </c>
      <c r="E117" t="e">
        <f t="shared" si="3"/>
        <v>#VALUE!</v>
      </c>
    </row>
    <row r="118" spans="3:5">
      <c r="C118" t="str">
        <f>IF(B118="","",IFERROR(VLOOKUP(B118,Menu!$B:$D,3,FALSE),0))</f>
        <v/>
      </c>
      <c r="D118">
        <v>0</v>
      </c>
      <c r="E118" t="e">
        <f t="shared" si="3"/>
        <v>#VALUE!</v>
      </c>
    </row>
    <row r="119" spans="3:5">
      <c r="C119" t="str">
        <f>IF(B119="","",IFERROR(VLOOKUP(B119,Menu!$B:$D,3,FALSE),0))</f>
        <v/>
      </c>
      <c r="D119">
        <v>0</v>
      </c>
      <c r="E119" t="e">
        <f t="shared" si="3"/>
        <v>#VALUE!</v>
      </c>
    </row>
    <row r="120" spans="3:5">
      <c r="C120" t="str">
        <f>IF(B120="","",IFERROR(VLOOKUP(B120,Menu!$B:$D,3,FALSE),0))</f>
        <v/>
      </c>
      <c r="D120">
        <v>0</v>
      </c>
      <c r="E120" t="e">
        <f t="shared" si="3"/>
        <v>#VALUE!</v>
      </c>
    </row>
    <row r="121" spans="3:5">
      <c r="C121" t="str">
        <f>IF(B121="","",IFERROR(VLOOKUP(B121,Menu!$B:$D,3,FALSE),0))</f>
        <v/>
      </c>
      <c r="D121">
        <v>0</v>
      </c>
      <c r="E121" t="e">
        <f t="shared" si="3"/>
        <v>#VALUE!</v>
      </c>
    </row>
    <row r="122" spans="3:5">
      <c r="C122" t="str">
        <f>IF(B122="","",IFERROR(VLOOKUP(B122,Menu!$B:$D,3,FALSE),0))</f>
        <v/>
      </c>
      <c r="D122">
        <v>0</v>
      </c>
      <c r="E122" t="e">
        <f t="shared" si="3"/>
        <v>#VALUE!</v>
      </c>
    </row>
    <row r="123" spans="3:5">
      <c r="C123" t="str">
        <f>IF(B123="","",IFERROR(VLOOKUP(B123,Menu!$B:$D,3,FALSE),0))</f>
        <v/>
      </c>
      <c r="D123">
        <v>0</v>
      </c>
      <c r="E123" t="e">
        <f t="shared" si="3"/>
        <v>#VALUE!</v>
      </c>
    </row>
    <row r="124" spans="3:5">
      <c r="C124" t="str">
        <f>IF(B124="","",IFERROR(VLOOKUP(B124,Menu!$B:$D,3,FALSE),0))</f>
        <v/>
      </c>
      <c r="D124">
        <v>0</v>
      </c>
      <c r="E124" t="e">
        <f t="shared" si="3"/>
        <v>#VALUE!</v>
      </c>
    </row>
    <row r="125" spans="3:5">
      <c r="C125" t="str">
        <f>IF(B125="","",IFERROR(VLOOKUP(B125,Menu!$B:$D,3,FALSE),0))</f>
        <v/>
      </c>
      <c r="D125">
        <v>0</v>
      </c>
      <c r="E125" t="e">
        <f t="shared" si="3"/>
        <v>#VALUE!</v>
      </c>
    </row>
    <row r="126" spans="3:5">
      <c r="C126" t="str">
        <f>IF(B126="","",IFERROR(VLOOKUP(B126,Menu!$B:$D,3,FALSE),0))</f>
        <v/>
      </c>
      <c r="D126">
        <v>0</v>
      </c>
      <c r="E126" t="e">
        <f t="shared" si="3"/>
        <v>#VALUE!</v>
      </c>
    </row>
    <row r="127" spans="3:5">
      <c r="C127" t="str">
        <f>IF(B127="","",IFERROR(VLOOKUP(B127,Menu!$B:$D,3,FALSE),0))</f>
        <v/>
      </c>
      <c r="D127">
        <v>0</v>
      </c>
      <c r="E127" t="e">
        <f t="shared" si="3"/>
        <v>#VALUE!</v>
      </c>
    </row>
    <row r="128" spans="3:5">
      <c r="C128" t="str">
        <f>IF(B128="","",IFERROR(VLOOKUP(B128,Menu!$B:$D,3,FALSE),0))</f>
        <v/>
      </c>
      <c r="D128">
        <v>0</v>
      </c>
      <c r="E128" t="e">
        <f t="shared" si="3"/>
        <v>#VALUE!</v>
      </c>
    </row>
    <row r="129" spans="3:5">
      <c r="C129" t="str">
        <f>IF(B129="","",IFERROR(VLOOKUP(B129,Menu!$B:$D,3,FALSE),0))</f>
        <v/>
      </c>
      <c r="D129">
        <v>0</v>
      </c>
      <c r="E129" t="e">
        <f t="shared" si="3"/>
        <v>#VALUE!</v>
      </c>
    </row>
    <row r="130" spans="3:5">
      <c r="C130" t="str">
        <f>IF(B130="","",IFERROR(VLOOKUP(B130,Menu!$B:$D,3,FALSE),0))</f>
        <v/>
      </c>
      <c r="D130">
        <v>0</v>
      </c>
      <c r="E130" t="e">
        <f t="shared" ref="E130:E161" si="4">C130*D130</f>
        <v>#VALUE!</v>
      </c>
    </row>
    <row r="131" spans="3:5">
      <c r="C131" t="str">
        <f>IF(B131="","",IFERROR(VLOOKUP(B131,Menu!$B:$D,3,FALSE),0))</f>
        <v/>
      </c>
      <c r="D131">
        <v>0</v>
      </c>
      <c r="E131" t="e">
        <f t="shared" si="4"/>
        <v>#VALUE!</v>
      </c>
    </row>
    <row r="132" spans="3:5">
      <c r="C132" t="str">
        <f>IF(B132="","",IFERROR(VLOOKUP(B132,Menu!$B:$D,3,FALSE),0))</f>
        <v/>
      </c>
      <c r="D132">
        <v>0</v>
      </c>
      <c r="E132" t="e">
        <f t="shared" si="4"/>
        <v>#VALUE!</v>
      </c>
    </row>
    <row r="133" spans="3:5">
      <c r="C133" t="str">
        <f>IF(B133="","",IFERROR(VLOOKUP(B133,Menu!$B:$D,3,FALSE),0))</f>
        <v/>
      </c>
      <c r="D133">
        <v>0</v>
      </c>
      <c r="E133" t="e">
        <f t="shared" si="4"/>
        <v>#VALUE!</v>
      </c>
    </row>
    <row r="134" spans="3:5">
      <c r="C134" t="str">
        <f>IF(B134="","",IFERROR(VLOOKUP(B134,Menu!$B:$D,3,FALSE),0))</f>
        <v/>
      </c>
      <c r="D134">
        <v>0</v>
      </c>
      <c r="E134" t="e">
        <f t="shared" si="4"/>
        <v>#VALUE!</v>
      </c>
    </row>
    <row r="135" spans="3:5">
      <c r="C135" t="str">
        <f>IF(B135="","",IFERROR(VLOOKUP(B135,Menu!$B:$D,3,FALSE),0))</f>
        <v/>
      </c>
      <c r="D135">
        <v>0</v>
      </c>
      <c r="E135" t="e">
        <f t="shared" si="4"/>
        <v>#VALUE!</v>
      </c>
    </row>
    <row r="136" spans="3:5">
      <c r="C136" t="str">
        <f>IF(B136="","",IFERROR(VLOOKUP(B136,Menu!$B:$D,3,FALSE),0))</f>
        <v/>
      </c>
      <c r="D136">
        <v>0</v>
      </c>
      <c r="E136" t="e">
        <f t="shared" si="4"/>
        <v>#VALUE!</v>
      </c>
    </row>
    <row r="137" spans="3:5">
      <c r="C137" t="str">
        <f>IF(B137="","",IFERROR(VLOOKUP(B137,Menu!$B:$D,3,FALSE),0))</f>
        <v/>
      </c>
      <c r="D137">
        <v>0</v>
      </c>
      <c r="E137" t="e">
        <f t="shared" si="4"/>
        <v>#VALUE!</v>
      </c>
    </row>
    <row r="138" spans="3:5">
      <c r="C138" t="str">
        <f>IF(B138="","",IFERROR(VLOOKUP(B138,Menu!$B:$D,3,FALSE),0))</f>
        <v/>
      </c>
      <c r="D138">
        <v>0</v>
      </c>
      <c r="E138" t="e">
        <f t="shared" si="4"/>
        <v>#VALUE!</v>
      </c>
    </row>
    <row r="139" spans="3:5">
      <c r="C139" t="str">
        <f>IF(B139="","",IFERROR(VLOOKUP(B139,Menu!$B:$D,3,FALSE),0))</f>
        <v/>
      </c>
      <c r="D139">
        <v>0</v>
      </c>
      <c r="E139" t="e">
        <f t="shared" si="4"/>
        <v>#VALUE!</v>
      </c>
    </row>
    <row r="140" spans="3:5">
      <c r="C140" t="str">
        <f>IF(B140="","",IFERROR(VLOOKUP(B140,Menu!$B:$D,3,FALSE),0))</f>
        <v/>
      </c>
      <c r="D140">
        <v>0</v>
      </c>
      <c r="E140" t="e">
        <f t="shared" si="4"/>
        <v>#VALUE!</v>
      </c>
    </row>
    <row r="141" spans="3:5">
      <c r="C141" t="str">
        <f>IF(B141="","",IFERROR(VLOOKUP(B141,Menu!$B:$D,3,FALSE),0))</f>
        <v/>
      </c>
      <c r="D141">
        <v>0</v>
      </c>
      <c r="E141" t="e">
        <f t="shared" si="4"/>
        <v>#VALUE!</v>
      </c>
    </row>
    <row r="142" spans="3:5">
      <c r="C142" t="str">
        <f>IF(B142="","",IFERROR(VLOOKUP(B142,Menu!$B:$D,3,FALSE),0))</f>
        <v/>
      </c>
      <c r="D142">
        <v>0</v>
      </c>
      <c r="E142" t="e">
        <f t="shared" si="4"/>
        <v>#VALUE!</v>
      </c>
    </row>
    <row r="143" spans="3:5">
      <c r="C143" t="str">
        <f>IF(B143="","",IFERROR(VLOOKUP(B143,Menu!$B:$D,3,FALSE),0))</f>
        <v/>
      </c>
      <c r="D143">
        <v>0</v>
      </c>
      <c r="E143" t="e">
        <f t="shared" si="4"/>
        <v>#VALUE!</v>
      </c>
    </row>
    <row r="144" spans="3:5">
      <c r="C144" t="str">
        <f>IF(B144="","",IFERROR(VLOOKUP(B144,Menu!$B:$D,3,FALSE),0))</f>
        <v/>
      </c>
      <c r="D144">
        <v>0</v>
      </c>
      <c r="E144" t="e">
        <f t="shared" si="4"/>
        <v>#VALUE!</v>
      </c>
    </row>
    <row r="145" spans="3:5">
      <c r="C145" t="str">
        <f>IF(B145="","",IFERROR(VLOOKUP(B145,Menu!$B:$D,3,FALSE),0))</f>
        <v/>
      </c>
      <c r="D145">
        <v>0</v>
      </c>
      <c r="E145" t="e">
        <f t="shared" si="4"/>
        <v>#VALUE!</v>
      </c>
    </row>
    <row r="146" spans="3:5">
      <c r="C146" t="str">
        <f>IF(B146="","",IFERROR(VLOOKUP(B146,Menu!$B:$D,3,FALSE),0))</f>
        <v/>
      </c>
      <c r="D146">
        <v>0</v>
      </c>
      <c r="E146" t="e">
        <f t="shared" si="4"/>
        <v>#VALUE!</v>
      </c>
    </row>
    <row r="147" spans="3:5">
      <c r="C147" t="str">
        <f>IF(B147="","",IFERROR(VLOOKUP(B147,Menu!$B:$D,3,FALSE),0))</f>
        <v/>
      </c>
      <c r="D147">
        <v>0</v>
      </c>
      <c r="E147" t="e">
        <f t="shared" si="4"/>
        <v>#VALUE!</v>
      </c>
    </row>
    <row r="148" spans="3:5">
      <c r="C148" t="str">
        <f>IF(B148="","",IFERROR(VLOOKUP(B148,Menu!$B:$D,3,FALSE),0))</f>
        <v/>
      </c>
      <c r="D148">
        <v>0</v>
      </c>
      <c r="E148" t="e">
        <f t="shared" si="4"/>
        <v>#VALUE!</v>
      </c>
    </row>
    <row r="149" spans="3:5">
      <c r="C149" t="str">
        <f>IF(B149="","",IFERROR(VLOOKUP(B149,Menu!$B:$D,3,FALSE),0))</f>
        <v/>
      </c>
      <c r="D149">
        <v>0</v>
      </c>
      <c r="E149" t="e">
        <f t="shared" si="4"/>
        <v>#VALUE!</v>
      </c>
    </row>
    <row r="150" spans="3:5">
      <c r="C150" t="str">
        <f>IF(B150="","",IFERROR(VLOOKUP(B150,Menu!$B:$D,3,FALSE),0))</f>
        <v/>
      </c>
      <c r="D150">
        <v>0</v>
      </c>
      <c r="E150" t="e">
        <f t="shared" si="4"/>
        <v>#VALUE!</v>
      </c>
    </row>
    <row r="151" spans="3:5">
      <c r="C151" t="str">
        <f>IF(B151="","",IFERROR(VLOOKUP(B151,Menu!$B:$D,3,FALSE),0))</f>
        <v/>
      </c>
      <c r="D151">
        <v>0</v>
      </c>
      <c r="E151" t="e">
        <f t="shared" si="4"/>
        <v>#VALUE!</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Lists!$F$2:$F$300</xm:f>
          </x14:formula1>
          <xm: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1"/>
  <sheetViews>
    <sheetView workbookViewId="0">
      <pane ySplit="1" topLeftCell="A268" activePane="bottomLeft" state="frozen"/>
      <selection activeCell="A16" sqref="A16"/>
      <selection pane="bottomLeft" activeCell="A16" sqref="A16"/>
    </sheetView>
  </sheetViews>
  <sheetFormatPr defaultRowHeight="15"/>
  <cols>
    <col min="1" max="1" width="60" customWidth="1"/>
    <col min="2" max="2" width="14" customWidth="1"/>
    <col min="3" max="3" width="10" customWidth="1"/>
    <col min="4" max="5" width="18" customWidth="1"/>
    <col min="6" max="7" width="12" customWidth="1"/>
  </cols>
  <sheetData>
    <row r="1" spans="1:7">
      <c r="A1" s="1" t="s">
        <v>17</v>
      </c>
      <c r="B1" s="1" t="s">
        <v>16</v>
      </c>
      <c r="C1" s="1" t="s">
        <v>65</v>
      </c>
      <c r="D1" s="1" t="s">
        <v>66</v>
      </c>
      <c r="E1" s="1" t="s">
        <v>67</v>
      </c>
      <c r="F1" s="1" t="s">
        <v>68</v>
      </c>
      <c r="G1" s="1" t="s">
        <v>69</v>
      </c>
    </row>
    <row r="2" spans="1:7">
      <c r="A2" t="str">
        <f>IFERROR(INDEX(Menu!$B$2:$B$500, MATCH(1, Menu!$L$2:$L$500, 0)),"")</f>
        <v>Whipped Feta</v>
      </c>
      <c r="B2" t="str">
        <f>IF(A2="","",INDEX(Menu!$A$2:$A$500, MATCH(A2, Menu!$B$2:$B$500, 0)))</f>
        <v>Starter</v>
      </c>
      <c r="C2">
        <f>IF(A2="","",INDEX(Menu!$D$2:$D$500, MATCH(A2, Menu!$B$2:$B$500, 0)))</f>
        <v>0</v>
      </c>
      <c r="D2">
        <f>IF(A2="",0,COUNTIF('Guest Pre-Orders'!C2:F32,A2))</f>
        <v>0</v>
      </c>
      <c r="E2">
        <f>IF(A2="",0,SUMIF('Counts Pre-Orders'!B:B,A2,'Counts Pre-Orders'!D:D))</f>
        <v>0</v>
      </c>
      <c r="F2">
        <f t="shared" ref="F2:F65" si="0">D2+E2</f>
        <v>0</v>
      </c>
      <c r="G2">
        <f t="shared" ref="G2:G65" si="1">F2*C2</f>
        <v>0</v>
      </c>
    </row>
    <row r="3" spans="1:7">
      <c r="A3" t="str">
        <f>IFERROR(INDEX(Menu!$B$2:$B$500, MATCH(2, Menu!$L$2:$L$500, 0)),"")</f>
        <v>Aubergine Trio</v>
      </c>
      <c r="B3" t="str">
        <f>IF(A3="","",INDEX(Menu!$A$2:$A$500, MATCH(A3, Menu!$B$2:$B$500, 0)))</f>
        <v>Starter</v>
      </c>
      <c r="C3">
        <f>IF(A3="","",INDEX(Menu!$D$2:$D$500, MATCH(A3, Menu!$B$2:$B$500, 0)))</f>
        <v>0</v>
      </c>
      <c r="D3">
        <f>IF(A3="",0,COUNTIF('Guest Pre-Orders'!C2:F32,A3))</f>
        <v>0</v>
      </c>
      <c r="E3">
        <f>IF(A3="",0,SUMIF('Counts Pre-Orders'!B:B,A3,'Counts Pre-Orders'!D:D))</f>
        <v>0</v>
      </c>
      <c r="F3">
        <f t="shared" si="0"/>
        <v>0</v>
      </c>
      <c r="G3">
        <f t="shared" si="1"/>
        <v>0</v>
      </c>
    </row>
    <row r="4" spans="1:7">
      <c r="A4" t="str">
        <f>IFERROR(INDEX(Menu!$B$2:$B$500, MATCH(3, Menu!$L$2:$L$500, 0)),"")</f>
        <v xml:space="preserve">Ash Reshteh </v>
      </c>
      <c r="B4" t="str">
        <f>IF(A4="","",INDEX(Menu!$A$2:$A$500, MATCH(A4, Menu!$B$2:$B$500, 0)))</f>
        <v>Starter</v>
      </c>
      <c r="C4">
        <f>IF(A4="","",INDEX(Menu!$D$2:$D$500, MATCH(A4, Menu!$B$2:$B$500, 0)))</f>
        <v>0</v>
      </c>
      <c r="D4">
        <f>IF(A4="",0,COUNTIF('Guest Pre-Orders'!C2:F32,A4))</f>
        <v>0</v>
      </c>
      <c r="E4">
        <f>IF(A4="",0,SUMIF('Counts Pre-Orders'!B:B,A4,'Counts Pre-Orders'!D:D))</f>
        <v>0</v>
      </c>
      <c r="F4">
        <f t="shared" si="0"/>
        <v>0</v>
      </c>
      <c r="G4">
        <f t="shared" si="1"/>
        <v>0</v>
      </c>
    </row>
    <row r="5" spans="1:7">
      <c r="A5" t="str">
        <f>IFERROR(INDEX(Menu!$B$2:$B$500, MATCH(4, Menu!$L$2:$L$500, 0)),"")</f>
        <v>Beetroot Cured Salmon</v>
      </c>
      <c r="B5" t="str">
        <f>IF(A5="","",INDEX(Menu!$A$2:$A$500, MATCH(A5, Menu!$B$2:$B$500, 0)))</f>
        <v>Starter</v>
      </c>
      <c r="C5">
        <f>IF(A5="","",INDEX(Menu!$D$2:$D$500, MATCH(A5, Menu!$B$2:$B$500, 0)))</f>
        <v>0</v>
      </c>
      <c r="D5">
        <f>IF(A5="",0,COUNTIF('Guest Pre-Orders'!C2:F32,A5))</f>
        <v>0</v>
      </c>
      <c r="E5">
        <f>IF(A5="",0,SUMIF('Counts Pre-Orders'!B:B,A5,'Counts Pre-Orders'!D:D))</f>
        <v>0</v>
      </c>
      <c r="F5">
        <f t="shared" si="0"/>
        <v>0</v>
      </c>
      <c r="G5">
        <f t="shared" si="1"/>
        <v>0</v>
      </c>
    </row>
    <row r="6" spans="1:7">
      <c r="A6" t="str">
        <f>IFERROR(INDEX(Menu!$B$2:$B$500, MATCH(5, Menu!$L$2:$L$500, 0)),"")</f>
        <v>Turkey Ballotine</v>
      </c>
      <c r="B6" t="str">
        <f>IF(A6="","",INDEX(Menu!$A$2:$A$500, MATCH(A6, Menu!$B$2:$B$500, 0)))</f>
        <v>Main</v>
      </c>
      <c r="C6">
        <f>IF(A6="","",INDEX(Menu!$D$2:$D$500, MATCH(A6, Menu!$B$2:$B$500, 0)))</f>
        <v>0</v>
      </c>
      <c r="D6">
        <f>IF(A6="",0,COUNTIF('Guest Pre-Orders'!C2:F32,A6))</f>
        <v>0</v>
      </c>
      <c r="E6">
        <f>IF(A6="",0,SUMIF('Counts Pre-Orders'!B:B,A6,'Counts Pre-Orders'!D:D))</f>
        <v>0</v>
      </c>
      <c r="F6">
        <f t="shared" si="0"/>
        <v>0</v>
      </c>
      <c r="G6">
        <f t="shared" si="1"/>
        <v>0</v>
      </c>
    </row>
    <row r="7" spans="1:7">
      <c r="A7" t="str">
        <f>IFERROR(INDEX(Menu!$B$2:$B$500, MATCH(6, Menu!$L$2:$L$500, 0)),"")</f>
        <v xml:space="preserve">Beef Bourguignon </v>
      </c>
      <c r="B7" t="str">
        <f>IF(A7="","",INDEX(Menu!$A$2:$A$500, MATCH(A7, Menu!$B$2:$B$500, 0)))</f>
        <v>Main</v>
      </c>
      <c r="C7">
        <f>IF(A7="","",INDEX(Menu!$D$2:$D$500, MATCH(A7, Menu!$B$2:$B$500, 0)))</f>
        <v>0</v>
      </c>
      <c r="D7">
        <f>IF(A7="",0,COUNTIF('Guest Pre-Orders'!C2:F32,A7))</f>
        <v>0</v>
      </c>
      <c r="E7">
        <f>IF(A7="",0,SUMIF('Counts Pre-Orders'!B:B,A7,'Counts Pre-Orders'!D:D))</f>
        <v>0</v>
      </c>
      <c r="F7">
        <f t="shared" si="0"/>
        <v>0</v>
      </c>
      <c r="G7">
        <f t="shared" si="1"/>
        <v>0</v>
      </c>
    </row>
    <row r="8" spans="1:7">
      <c r="A8" t="str">
        <f>IFERROR(INDEX(Menu!$B$2:$B$500, MATCH(7, Menu!$L$2:$L$500, 0)),"")</f>
        <v>Monkfish</v>
      </c>
      <c r="B8" t="str">
        <f>IF(A8="","",INDEX(Menu!$A$2:$A$500, MATCH(A8, Menu!$B$2:$B$500, 0)))</f>
        <v>Main</v>
      </c>
      <c r="C8">
        <f>IF(A8="","",INDEX(Menu!$D$2:$D$500, MATCH(A8, Menu!$B$2:$B$500, 0)))</f>
        <v>0</v>
      </c>
      <c r="D8">
        <f>IF(A8="",0,COUNTIF('Guest Pre-Orders'!C2:F32,A8))</f>
        <v>0</v>
      </c>
      <c r="E8">
        <f>IF(A8="",0,SUMIF('Counts Pre-Orders'!B:B,A8,'Counts Pre-Orders'!D:D))</f>
        <v>0</v>
      </c>
      <c r="F8">
        <f t="shared" si="0"/>
        <v>0</v>
      </c>
      <c r="G8">
        <f t="shared" si="1"/>
        <v>0</v>
      </c>
    </row>
    <row r="9" spans="1:7">
      <c r="A9" t="str">
        <f>IFERROR(INDEX(Menu!$B$2:$B$500, MATCH(8, Menu!$L$2:$L$500, 0)),"")</f>
        <v>Roasted Pork Belly</v>
      </c>
      <c r="B9" t="str">
        <f>IF(A9="","",INDEX(Menu!$A$2:$A$500, MATCH(A9, Menu!$B$2:$B$500, 0)))</f>
        <v>Main</v>
      </c>
      <c r="C9">
        <f>IF(A9="","",INDEX(Menu!$D$2:$D$500, MATCH(A9, Menu!$B$2:$B$500, 0)))</f>
        <v>0</v>
      </c>
      <c r="D9">
        <f>IF(A9="",0,COUNTIF('Guest Pre-Orders'!C2:F32,A9))</f>
        <v>0</v>
      </c>
      <c r="E9">
        <f>IF(A9="",0,SUMIF('Counts Pre-Orders'!B:B,A9,'Counts Pre-Orders'!D:D))</f>
        <v>0</v>
      </c>
      <c r="F9">
        <f t="shared" si="0"/>
        <v>0</v>
      </c>
      <c r="G9">
        <f t="shared" si="1"/>
        <v>0</v>
      </c>
    </row>
    <row r="10" spans="1:7">
      <c r="A10" t="str">
        <f>IFERROR(INDEX(Menu!$B$2:$B$500, MATCH(9, Menu!$L$2:$L$500, 0)),"")</f>
        <v>Beetroot Risotto</v>
      </c>
      <c r="B10" t="str">
        <f>IF(A10="","",INDEX(Menu!$A$2:$A$500, MATCH(A10, Menu!$B$2:$B$500, 0)))</f>
        <v>Main</v>
      </c>
      <c r="C10">
        <f>IF(A10="","",INDEX(Menu!$D$2:$D$500, MATCH(A10, Menu!$B$2:$B$500, 0)))</f>
        <v>0</v>
      </c>
      <c r="D10">
        <f>IF(A10="",0,COUNTIF('Guest Pre-Orders'!C2:F32,A10))</f>
        <v>0</v>
      </c>
      <c r="E10">
        <f>IF(A10="",0,SUMIF('Counts Pre-Orders'!B:B,A10,'Counts Pre-Orders'!D:D))</f>
        <v>0</v>
      </c>
      <c r="F10">
        <f t="shared" si="0"/>
        <v>0</v>
      </c>
      <c r="G10">
        <f t="shared" si="1"/>
        <v>0</v>
      </c>
    </row>
    <row r="11" spans="1:7">
      <c r="A11" t="str">
        <f>IFERROR(INDEX(Menu!$B$2:$B$500, MATCH(10, Menu!$L$2:$L$500, 0)),"")</f>
        <v>Tiramisu Amici</v>
      </c>
      <c r="B11" t="str">
        <f>IF(A11="","",INDEX(Menu!$A$2:$A$500, MATCH(A11, Menu!$B$2:$B$500, 0)))</f>
        <v>Dessert</v>
      </c>
      <c r="C11">
        <f>IF(A11="","",INDEX(Menu!$D$2:$D$500, MATCH(A11, Menu!$B$2:$B$500, 0)))</f>
        <v>0</v>
      </c>
      <c r="D11">
        <f>IF(A11="",0,COUNTIF('Guest Pre-Orders'!C2:F32,A11))</f>
        <v>0</v>
      </c>
      <c r="E11">
        <f>IF(A11="",0,SUMIF('Counts Pre-Orders'!B:B,A11,'Counts Pre-Orders'!D:D))</f>
        <v>0</v>
      </c>
      <c r="F11">
        <f t="shared" si="0"/>
        <v>0</v>
      </c>
      <c r="G11">
        <f t="shared" si="1"/>
        <v>0</v>
      </c>
    </row>
    <row r="12" spans="1:7">
      <c r="A12" t="str">
        <f>IFERROR(INDEX(Menu!$B$2:$B$500, MATCH(11, Menu!$L$2:$L$500, 0)),"")</f>
        <v>Rosewater Baklava</v>
      </c>
      <c r="B12" t="str">
        <f>IF(A12="","",INDEX(Menu!$A$2:$A$500, MATCH(A12, Menu!$B$2:$B$500, 0)))</f>
        <v>Dessert</v>
      </c>
      <c r="C12">
        <f>IF(A12="","",INDEX(Menu!$D$2:$D$500, MATCH(A12, Menu!$B$2:$B$500, 0)))</f>
        <v>0</v>
      </c>
      <c r="D12">
        <f>IF(A12="",0,COUNTIF('Guest Pre-Orders'!C2:F32,A12))</f>
        <v>0</v>
      </c>
      <c r="E12">
        <f>IF(A12="",0,SUMIF('Counts Pre-Orders'!B:B,A12,'Counts Pre-Orders'!D:D))</f>
        <v>0</v>
      </c>
      <c r="F12">
        <f t="shared" si="0"/>
        <v>0</v>
      </c>
      <c r="G12">
        <f t="shared" si="1"/>
        <v>0</v>
      </c>
    </row>
    <row r="13" spans="1:7">
      <c r="A13" t="str">
        <f>IFERROR(INDEX(Menu!$B$2:$B$500, MATCH(12, Menu!$L$2:$L$500, 0)),"")</f>
        <v>Bread &amp; Butter Pudding</v>
      </c>
      <c r="B13" t="str">
        <f>IF(A13="","",INDEX(Menu!$A$2:$A$500, MATCH(A13, Menu!$B$2:$B$500, 0)))</f>
        <v>Dessert</v>
      </c>
      <c r="C13">
        <f>IF(A13="","",INDEX(Menu!$D$2:$D$500, MATCH(A13, Menu!$B$2:$B$500, 0)))</f>
        <v>0</v>
      </c>
      <c r="D13">
        <f>IF(A13="",0,COUNTIF('Guest Pre-Orders'!C2:F32,A13))</f>
        <v>0</v>
      </c>
      <c r="E13">
        <f>IF(A13="",0,SUMIF('Counts Pre-Orders'!B:B,A13,'Counts Pre-Orders'!D:D))</f>
        <v>0</v>
      </c>
      <c r="F13">
        <f t="shared" si="0"/>
        <v>0</v>
      </c>
      <c r="G13">
        <f t="shared" si="1"/>
        <v>0</v>
      </c>
    </row>
    <row r="14" spans="1:7">
      <c r="A14" t="str">
        <f>IFERROR(INDEX(Menu!$B$2:$B$500, MATCH(13, Menu!$L$2:$L$500, 0)),"")</f>
        <v/>
      </c>
      <c r="B14" t="str">
        <f>IF(A14="","",INDEX(Menu!$A$2:$A$500, MATCH(A14, Menu!$B$2:$B$500, 0)))</f>
        <v/>
      </c>
      <c r="C14" t="str">
        <f>IF(A14="","",INDEX(Menu!$D$2:$D$500, MATCH(A14, Menu!$B$2:$B$500, 0)))</f>
        <v/>
      </c>
      <c r="D14">
        <f>IF(A14="",0,COUNTIF('Guest Pre-Orders'!C2:F32,A14))</f>
        <v>0</v>
      </c>
      <c r="E14">
        <f>IF(A14="",0,SUMIF('Counts Pre-Orders'!B:B,A14,'Counts Pre-Orders'!D:D))</f>
        <v>0</v>
      </c>
      <c r="F14">
        <f t="shared" si="0"/>
        <v>0</v>
      </c>
      <c r="G14" t="e">
        <f t="shared" si="1"/>
        <v>#VALUE!</v>
      </c>
    </row>
    <row r="15" spans="1:7">
      <c r="A15" t="str">
        <f>IFERROR(INDEX(Menu!$B$2:$B$500, MATCH(14, Menu!$L$2:$L$500, 0)),"")</f>
        <v/>
      </c>
      <c r="B15" t="str">
        <f>IF(A15="","",INDEX(Menu!$A$2:$A$500, MATCH(A15, Menu!$B$2:$B$500, 0)))</f>
        <v/>
      </c>
      <c r="C15" t="str">
        <f>IF(A15="","",INDEX(Menu!$D$2:$D$500, MATCH(A15, Menu!$B$2:$B$500, 0)))</f>
        <v/>
      </c>
      <c r="D15">
        <f>IF(A15="",0,COUNTIF('Guest Pre-Orders'!C2:F32,A15))</f>
        <v>0</v>
      </c>
      <c r="E15">
        <f>IF(A15="",0,SUMIF('Counts Pre-Orders'!B:B,A15,'Counts Pre-Orders'!D:D))</f>
        <v>0</v>
      </c>
      <c r="F15">
        <f t="shared" si="0"/>
        <v>0</v>
      </c>
      <c r="G15" t="e">
        <f t="shared" si="1"/>
        <v>#VALUE!</v>
      </c>
    </row>
    <row r="16" spans="1:7">
      <c r="A16" t="str">
        <f>IFERROR(INDEX(Menu!$B$2:$B$500, MATCH(15, Menu!$L$2:$L$500, 0)),"")</f>
        <v/>
      </c>
      <c r="B16" t="str">
        <f>IF(A16="","",INDEX(Menu!$A$2:$A$500, MATCH(A16, Menu!$B$2:$B$500, 0)))</f>
        <v/>
      </c>
      <c r="C16" t="str">
        <f>IF(A16="","",INDEX(Menu!$D$2:$D$500, MATCH(A16, Menu!$B$2:$B$500, 0)))</f>
        <v/>
      </c>
      <c r="D16">
        <f>IF(A16="",0,COUNTIF('Guest Pre-Orders'!C2:F32,A16))</f>
        <v>0</v>
      </c>
      <c r="E16">
        <f>IF(A16="",0,SUMIF('Counts Pre-Orders'!B:B,A16,'Counts Pre-Orders'!D:D))</f>
        <v>0</v>
      </c>
      <c r="F16">
        <f t="shared" si="0"/>
        <v>0</v>
      </c>
      <c r="G16" t="e">
        <f t="shared" si="1"/>
        <v>#VALUE!</v>
      </c>
    </row>
    <row r="17" spans="1:7">
      <c r="A17" t="str">
        <f>IFERROR(INDEX(Menu!$B$2:$B$500, MATCH(16, Menu!$L$2:$L$500, 0)),"")</f>
        <v/>
      </c>
      <c r="B17" t="str">
        <f>IF(A17="","",INDEX(Menu!$A$2:$A$500, MATCH(A17, Menu!$B$2:$B$500, 0)))</f>
        <v/>
      </c>
      <c r="C17" t="str">
        <f>IF(A17="","",INDEX(Menu!$D$2:$D$500, MATCH(A17, Menu!$B$2:$B$500, 0)))</f>
        <v/>
      </c>
      <c r="D17">
        <f>IF(A17="",0,COUNTIF('Guest Pre-Orders'!C2:F32,A17))</f>
        <v>0</v>
      </c>
      <c r="E17">
        <f>IF(A17="",0,SUMIF('Counts Pre-Orders'!B:B,A17,'Counts Pre-Orders'!D:D))</f>
        <v>0</v>
      </c>
      <c r="F17">
        <f t="shared" si="0"/>
        <v>0</v>
      </c>
      <c r="G17" t="e">
        <f t="shared" si="1"/>
        <v>#VALUE!</v>
      </c>
    </row>
    <row r="18" spans="1:7">
      <c r="A18" t="str">
        <f>IFERROR(INDEX(Menu!$B$2:$B$500, MATCH(17, Menu!$L$2:$L$500, 0)),"")</f>
        <v/>
      </c>
      <c r="B18" t="str">
        <f>IF(A18="","",INDEX(Menu!$A$2:$A$500, MATCH(A18, Menu!$B$2:$B$500, 0)))</f>
        <v/>
      </c>
      <c r="C18" t="str">
        <f>IF(A18="","",INDEX(Menu!$D$2:$D$500, MATCH(A18, Menu!$B$2:$B$500, 0)))</f>
        <v/>
      </c>
      <c r="D18">
        <f>IF(A18="",0,COUNTIF('Guest Pre-Orders'!C2:F32,A18))</f>
        <v>0</v>
      </c>
      <c r="E18">
        <f>IF(A18="",0,SUMIF('Counts Pre-Orders'!B:B,A18,'Counts Pre-Orders'!D:D))</f>
        <v>0</v>
      </c>
      <c r="F18">
        <f t="shared" si="0"/>
        <v>0</v>
      </c>
      <c r="G18" t="e">
        <f t="shared" si="1"/>
        <v>#VALUE!</v>
      </c>
    </row>
    <row r="19" spans="1:7">
      <c r="A19" t="str">
        <f>IFERROR(INDEX(Menu!$B$2:$B$500, MATCH(18, Menu!$L$2:$L$500, 0)),"")</f>
        <v/>
      </c>
      <c r="B19" t="str">
        <f>IF(A19="","",INDEX(Menu!$A$2:$A$500, MATCH(A19, Menu!$B$2:$B$500, 0)))</f>
        <v/>
      </c>
      <c r="C19" t="str">
        <f>IF(A19="","",INDEX(Menu!$D$2:$D$500, MATCH(A19, Menu!$B$2:$B$500, 0)))</f>
        <v/>
      </c>
      <c r="D19">
        <f>IF(A19="",0,COUNTIF('Guest Pre-Orders'!C2:F32,A19))</f>
        <v>0</v>
      </c>
      <c r="E19">
        <f>IF(A19="",0,SUMIF('Counts Pre-Orders'!B:B,A19,'Counts Pre-Orders'!D:D))</f>
        <v>0</v>
      </c>
      <c r="F19">
        <f t="shared" si="0"/>
        <v>0</v>
      </c>
      <c r="G19" t="e">
        <f t="shared" si="1"/>
        <v>#VALUE!</v>
      </c>
    </row>
    <row r="20" spans="1:7">
      <c r="A20" t="str">
        <f>IFERROR(INDEX(Menu!$B$2:$B$500, MATCH(19, Menu!$L$2:$L$500, 0)),"")</f>
        <v/>
      </c>
      <c r="B20" t="str">
        <f>IF(A20="","",INDEX(Menu!$A$2:$A$500, MATCH(A20, Menu!$B$2:$B$500, 0)))</f>
        <v/>
      </c>
      <c r="C20" t="str">
        <f>IF(A20="","",INDEX(Menu!$D$2:$D$500, MATCH(A20, Menu!$B$2:$B$500, 0)))</f>
        <v/>
      </c>
      <c r="D20">
        <f>IF(A20="",0,COUNTIF('Guest Pre-Orders'!C2:F32,A20))</f>
        <v>0</v>
      </c>
      <c r="E20">
        <f>IF(A20="",0,SUMIF('Counts Pre-Orders'!B:B,A20,'Counts Pre-Orders'!D:D))</f>
        <v>0</v>
      </c>
      <c r="F20">
        <f t="shared" si="0"/>
        <v>0</v>
      </c>
      <c r="G20" t="e">
        <f t="shared" si="1"/>
        <v>#VALUE!</v>
      </c>
    </row>
    <row r="21" spans="1:7">
      <c r="A21" t="str">
        <f>IFERROR(INDEX(Menu!$B$2:$B$500, MATCH(20, Menu!$L$2:$L$500, 0)),"")</f>
        <v/>
      </c>
      <c r="B21" t="str">
        <f>IF(A21="","",INDEX(Menu!$A$2:$A$500, MATCH(A21, Menu!$B$2:$B$500, 0)))</f>
        <v/>
      </c>
      <c r="C21" t="str">
        <f>IF(A21="","",INDEX(Menu!$D$2:$D$500, MATCH(A21, Menu!$B$2:$B$500, 0)))</f>
        <v/>
      </c>
      <c r="D21">
        <f>IF(A21="",0,COUNTIF('Guest Pre-Orders'!C2:F32,A21))</f>
        <v>0</v>
      </c>
      <c r="E21">
        <f>IF(A21="",0,SUMIF('Counts Pre-Orders'!B:B,A21,'Counts Pre-Orders'!D:D))</f>
        <v>0</v>
      </c>
      <c r="F21">
        <f t="shared" si="0"/>
        <v>0</v>
      </c>
      <c r="G21" t="e">
        <f t="shared" si="1"/>
        <v>#VALUE!</v>
      </c>
    </row>
    <row r="22" spans="1:7">
      <c r="A22" t="str">
        <f>IFERROR(INDEX(Menu!$B$2:$B$500, MATCH(21, Menu!$L$2:$L$500, 0)),"")</f>
        <v/>
      </c>
      <c r="B22" t="str">
        <f>IF(A22="","",INDEX(Menu!$A$2:$A$500, MATCH(A22, Menu!$B$2:$B$500, 0)))</f>
        <v/>
      </c>
      <c r="C22" t="str">
        <f>IF(A22="","",INDEX(Menu!$D$2:$D$500, MATCH(A22, Menu!$B$2:$B$500, 0)))</f>
        <v/>
      </c>
      <c r="D22">
        <f>IF(A22="",0,COUNTIF('Guest Pre-Orders'!C2:F32,A22))</f>
        <v>0</v>
      </c>
      <c r="E22">
        <f>IF(A22="",0,SUMIF('Counts Pre-Orders'!B:B,A22,'Counts Pre-Orders'!D:D))</f>
        <v>0</v>
      </c>
      <c r="F22">
        <f t="shared" si="0"/>
        <v>0</v>
      </c>
      <c r="G22" t="e">
        <f t="shared" si="1"/>
        <v>#VALUE!</v>
      </c>
    </row>
    <row r="23" spans="1:7">
      <c r="A23" t="str">
        <f>IFERROR(INDEX(Menu!$B$2:$B$500, MATCH(22, Menu!$L$2:$L$500, 0)),"")</f>
        <v/>
      </c>
      <c r="B23" t="str">
        <f>IF(A23="","",INDEX(Menu!$A$2:$A$500, MATCH(A23, Menu!$B$2:$B$500, 0)))</f>
        <v/>
      </c>
      <c r="C23" t="str">
        <f>IF(A23="","",INDEX(Menu!$D$2:$D$500, MATCH(A23, Menu!$B$2:$B$500, 0)))</f>
        <v/>
      </c>
      <c r="D23">
        <f>IF(A23="",0,COUNTIF('Guest Pre-Orders'!C2:F32,A23))</f>
        <v>0</v>
      </c>
      <c r="E23">
        <f>IF(A23="",0,SUMIF('Counts Pre-Orders'!B:B,A23,'Counts Pre-Orders'!D:D))</f>
        <v>0</v>
      </c>
      <c r="F23">
        <f t="shared" si="0"/>
        <v>0</v>
      </c>
      <c r="G23" t="e">
        <f t="shared" si="1"/>
        <v>#VALUE!</v>
      </c>
    </row>
    <row r="24" spans="1:7">
      <c r="A24" t="str">
        <f>IFERROR(INDEX(Menu!$B$2:$B$500, MATCH(23, Menu!$L$2:$L$500, 0)),"")</f>
        <v/>
      </c>
      <c r="B24" t="str">
        <f>IF(A24="","",INDEX(Menu!$A$2:$A$500, MATCH(A24, Menu!$B$2:$B$500, 0)))</f>
        <v/>
      </c>
      <c r="C24" t="str">
        <f>IF(A24="","",INDEX(Menu!$D$2:$D$500, MATCH(A24, Menu!$B$2:$B$500, 0)))</f>
        <v/>
      </c>
      <c r="D24">
        <f>IF(A24="",0,COUNTIF('Guest Pre-Orders'!C2:F32,A24))</f>
        <v>0</v>
      </c>
      <c r="E24">
        <f>IF(A24="",0,SUMIF('Counts Pre-Orders'!B:B,A24,'Counts Pre-Orders'!D:D))</f>
        <v>0</v>
      </c>
      <c r="F24">
        <f t="shared" si="0"/>
        <v>0</v>
      </c>
      <c r="G24" t="e">
        <f t="shared" si="1"/>
        <v>#VALUE!</v>
      </c>
    </row>
    <row r="25" spans="1:7">
      <c r="A25" t="str">
        <f>IFERROR(INDEX(Menu!$B$2:$B$500, MATCH(24, Menu!$L$2:$L$500, 0)),"")</f>
        <v/>
      </c>
      <c r="B25" t="str">
        <f>IF(A25="","",INDEX(Menu!$A$2:$A$500, MATCH(A25, Menu!$B$2:$B$500, 0)))</f>
        <v/>
      </c>
      <c r="C25" t="str">
        <f>IF(A25="","",INDEX(Menu!$D$2:$D$500, MATCH(A25, Menu!$B$2:$B$500, 0)))</f>
        <v/>
      </c>
      <c r="D25">
        <f>IF(A25="",0,COUNTIF('Guest Pre-Orders'!C2:F32,A25))</f>
        <v>0</v>
      </c>
      <c r="E25">
        <f>IF(A25="",0,SUMIF('Counts Pre-Orders'!B:B,A25,'Counts Pre-Orders'!D:D))</f>
        <v>0</v>
      </c>
      <c r="F25">
        <f t="shared" si="0"/>
        <v>0</v>
      </c>
      <c r="G25" t="e">
        <f t="shared" si="1"/>
        <v>#VALUE!</v>
      </c>
    </row>
    <row r="26" spans="1:7">
      <c r="A26" t="str">
        <f>IFERROR(INDEX(Menu!$B$2:$B$500, MATCH(25, Menu!$L$2:$L$500, 0)),"")</f>
        <v/>
      </c>
      <c r="B26" t="str">
        <f>IF(A26="","",INDEX(Menu!$A$2:$A$500, MATCH(A26, Menu!$B$2:$B$500, 0)))</f>
        <v/>
      </c>
      <c r="C26" t="str">
        <f>IF(A26="","",INDEX(Menu!$D$2:$D$500, MATCH(A26, Menu!$B$2:$B$500, 0)))</f>
        <v/>
      </c>
      <c r="D26">
        <f>IF(A26="",0,COUNTIF('Guest Pre-Orders'!C2:F32,A26))</f>
        <v>0</v>
      </c>
      <c r="E26">
        <f>IF(A26="",0,SUMIF('Counts Pre-Orders'!B:B,A26,'Counts Pre-Orders'!D:D))</f>
        <v>0</v>
      </c>
      <c r="F26">
        <f t="shared" si="0"/>
        <v>0</v>
      </c>
      <c r="G26" t="e">
        <f t="shared" si="1"/>
        <v>#VALUE!</v>
      </c>
    </row>
    <row r="27" spans="1:7">
      <c r="A27" t="str">
        <f>IFERROR(INDEX(Menu!$B$2:$B$500, MATCH(26, Menu!$L$2:$L$500, 0)),"")</f>
        <v/>
      </c>
      <c r="B27" t="str">
        <f>IF(A27="","",INDEX(Menu!$A$2:$A$500, MATCH(A27, Menu!$B$2:$B$500, 0)))</f>
        <v/>
      </c>
      <c r="C27" t="str">
        <f>IF(A27="","",INDEX(Menu!$D$2:$D$500, MATCH(A27, Menu!$B$2:$B$500, 0)))</f>
        <v/>
      </c>
      <c r="D27">
        <f>IF(A27="",0,COUNTIF('Guest Pre-Orders'!C2:F32,A27))</f>
        <v>0</v>
      </c>
      <c r="E27">
        <f>IF(A27="",0,SUMIF('Counts Pre-Orders'!B:B,A27,'Counts Pre-Orders'!D:D))</f>
        <v>0</v>
      </c>
      <c r="F27">
        <f t="shared" si="0"/>
        <v>0</v>
      </c>
      <c r="G27" t="e">
        <f t="shared" si="1"/>
        <v>#VALUE!</v>
      </c>
    </row>
    <row r="28" spans="1:7">
      <c r="A28" t="str">
        <f>IFERROR(INDEX(Menu!$B$2:$B$500, MATCH(27, Menu!$L$2:$L$500, 0)),"")</f>
        <v/>
      </c>
      <c r="B28" t="str">
        <f>IF(A28="","",INDEX(Menu!$A$2:$A$500, MATCH(A28, Menu!$B$2:$B$500, 0)))</f>
        <v/>
      </c>
      <c r="C28" t="str">
        <f>IF(A28="","",INDEX(Menu!$D$2:$D$500, MATCH(A28, Menu!$B$2:$B$500, 0)))</f>
        <v/>
      </c>
      <c r="D28">
        <f>IF(A28="",0,COUNTIF('Guest Pre-Orders'!C2:F32,A28))</f>
        <v>0</v>
      </c>
      <c r="E28">
        <f>IF(A28="",0,SUMIF('Counts Pre-Orders'!B:B,A28,'Counts Pre-Orders'!D:D))</f>
        <v>0</v>
      </c>
      <c r="F28">
        <f t="shared" si="0"/>
        <v>0</v>
      </c>
      <c r="G28" t="e">
        <f t="shared" si="1"/>
        <v>#VALUE!</v>
      </c>
    </row>
    <row r="29" spans="1:7">
      <c r="A29" t="str">
        <f>IFERROR(INDEX(Menu!$B$2:$B$500, MATCH(28, Menu!$L$2:$L$500, 0)),"")</f>
        <v/>
      </c>
      <c r="B29" t="str">
        <f>IF(A29="","",INDEX(Menu!$A$2:$A$500, MATCH(A29, Menu!$B$2:$B$500, 0)))</f>
        <v/>
      </c>
      <c r="C29" t="str">
        <f>IF(A29="","",INDEX(Menu!$D$2:$D$500, MATCH(A29, Menu!$B$2:$B$500, 0)))</f>
        <v/>
      </c>
      <c r="D29">
        <f>IF(A29="",0,COUNTIF('Guest Pre-Orders'!C2:F32,A29))</f>
        <v>0</v>
      </c>
      <c r="E29">
        <f>IF(A29="",0,SUMIF('Counts Pre-Orders'!B:B,A29,'Counts Pre-Orders'!D:D))</f>
        <v>0</v>
      </c>
      <c r="F29">
        <f t="shared" si="0"/>
        <v>0</v>
      </c>
      <c r="G29" t="e">
        <f t="shared" si="1"/>
        <v>#VALUE!</v>
      </c>
    </row>
    <row r="30" spans="1:7">
      <c r="A30" t="str">
        <f>IFERROR(INDEX(Menu!$B$2:$B$500, MATCH(29, Menu!$L$2:$L$500, 0)),"")</f>
        <v/>
      </c>
      <c r="B30" t="str">
        <f>IF(A30="","",INDEX(Menu!$A$2:$A$500, MATCH(A30, Menu!$B$2:$B$500, 0)))</f>
        <v/>
      </c>
      <c r="C30" t="str">
        <f>IF(A30="","",INDEX(Menu!$D$2:$D$500, MATCH(A30, Menu!$B$2:$B$500, 0)))</f>
        <v/>
      </c>
      <c r="D30">
        <f>IF(A30="",0,COUNTIF('Guest Pre-Orders'!C2:F32,A30))</f>
        <v>0</v>
      </c>
      <c r="E30">
        <f>IF(A30="",0,SUMIF('Counts Pre-Orders'!B:B,A30,'Counts Pre-Orders'!D:D))</f>
        <v>0</v>
      </c>
      <c r="F30">
        <f t="shared" si="0"/>
        <v>0</v>
      </c>
      <c r="G30" t="e">
        <f t="shared" si="1"/>
        <v>#VALUE!</v>
      </c>
    </row>
    <row r="31" spans="1:7">
      <c r="A31" t="str">
        <f>IFERROR(INDEX(Menu!$B$2:$B$500, MATCH(30, Menu!$L$2:$L$500, 0)),"")</f>
        <v/>
      </c>
      <c r="B31" t="str">
        <f>IF(A31="","",INDEX(Menu!$A$2:$A$500, MATCH(A31, Menu!$B$2:$B$500, 0)))</f>
        <v/>
      </c>
      <c r="C31" t="str">
        <f>IF(A31="","",INDEX(Menu!$D$2:$D$500, MATCH(A31, Menu!$B$2:$B$500, 0)))</f>
        <v/>
      </c>
      <c r="D31">
        <f>IF(A31="",0,COUNTIF('Guest Pre-Orders'!C2:F32,A31))</f>
        <v>0</v>
      </c>
      <c r="E31">
        <f>IF(A31="",0,SUMIF('Counts Pre-Orders'!B:B,A31,'Counts Pre-Orders'!D:D))</f>
        <v>0</v>
      </c>
      <c r="F31">
        <f t="shared" si="0"/>
        <v>0</v>
      </c>
      <c r="G31" t="e">
        <f t="shared" si="1"/>
        <v>#VALUE!</v>
      </c>
    </row>
    <row r="32" spans="1:7">
      <c r="A32" t="str">
        <f>IFERROR(INDEX(Menu!$B$2:$B$500, MATCH(31, Menu!$L$2:$L$500, 0)),"")</f>
        <v/>
      </c>
      <c r="B32" t="str">
        <f>IF(A32="","",INDEX(Menu!$A$2:$A$500, MATCH(A32, Menu!$B$2:$B$500, 0)))</f>
        <v/>
      </c>
      <c r="C32" t="str">
        <f>IF(A32="","",INDEX(Menu!$D$2:$D$500, MATCH(A32, Menu!$B$2:$B$500, 0)))</f>
        <v/>
      </c>
      <c r="D32">
        <f>IF(A32="",0,COUNTIF('Guest Pre-Orders'!C2:F32,A32))</f>
        <v>0</v>
      </c>
      <c r="E32">
        <f>IF(A32="",0,SUMIF('Counts Pre-Orders'!B:B,A32,'Counts Pre-Orders'!D:D))</f>
        <v>0</v>
      </c>
      <c r="F32">
        <f t="shared" si="0"/>
        <v>0</v>
      </c>
      <c r="G32" t="e">
        <f t="shared" si="1"/>
        <v>#VALUE!</v>
      </c>
    </row>
    <row r="33" spans="1:7">
      <c r="A33" t="str">
        <f>IFERROR(INDEX(Menu!$B$2:$B$500, MATCH(32, Menu!$L$2:$L$500, 0)),"")</f>
        <v/>
      </c>
      <c r="B33" t="str">
        <f>IF(A33="","",INDEX(Menu!$A$2:$A$500, MATCH(A33, Menu!$B$2:$B$500, 0)))</f>
        <v/>
      </c>
      <c r="C33" t="str">
        <f>IF(A33="","",INDEX(Menu!$D$2:$D$500, MATCH(A33, Menu!$B$2:$B$500, 0)))</f>
        <v/>
      </c>
      <c r="D33">
        <f>IF(A33="",0,COUNTIF('Guest Pre-Orders'!C2:F32,A33))</f>
        <v>0</v>
      </c>
      <c r="E33">
        <f>IF(A33="",0,SUMIF('Counts Pre-Orders'!B:B,A33,'Counts Pre-Orders'!D:D))</f>
        <v>0</v>
      </c>
      <c r="F33">
        <f t="shared" si="0"/>
        <v>0</v>
      </c>
      <c r="G33" t="e">
        <f t="shared" si="1"/>
        <v>#VALUE!</v>
      </c>
    </row>
    <row r="34" spans="1:7">
      <c r="A34" t="str">
        <f>IFERROR(INDEX(Menu!$B$2:$B$500, MATCH(33, Menu!$L$2:$L$500, 0)),"")</f>
        <v/>
      </c>
      <c r="B34" t="str">
        <f>IF(A34="","",INDEX(Menu!$A$2:$A$500, MATCH(A34, Menu!$B$2:$B$500, 0)))</f>
        <v/>
      </c>
      <c r="C34" t="str">
        <f>IF(A34="","",INDEX(Menu!$D$2:$D$500, MATCH(A34, Menu!$B$2:$B$500, 0)))</f>
        <v/>
      </c>
      <c r="D34">
        <f>IF(A34="",0,COUNTIF('Guest Pre-Orders'!C2:F32,A34))</f>
        <v>0</v>
      </c>
      <c r="E34">
        <f>IF(A34="",0,SUMIF('Counts Pre-Orders'!B:B,A34,'Counts Pre-Orders'!D:D))</f>
        <v>0</v>
      </c>
      <c r="F34">
        <f t="shared" si="0"/>
        <v>0</v>
      </c>
      <c r="G34" t="e">
        <f t="shared" si="1"/>
        <v>#VALUE!</v>
      </c>
    </row>
    <row r="35" spans="1:7">
      <c r="A35" t="str">
        <f>IFERROR(INDEX(Menu!$B$2:$B$500, MATCH(34, Menu!$L$2:$L$500, 0)),"")</f>
        <v/>
      </c>
      <c r="B35" t="str">
        <f>IF(A35="","",INDEX(Menu!$A$2:$A$500, MATCH(A35, Menu!$B$2:$B$500, 0)))</f>
        <v/>
      </c>
      <c r="C35" t="str">
        <f>IF(A35="","",INDEX(Menu!$D$2:$D$500, MATCH(A35, Menu!$B$2:$B$500, 0)))</f>
        <v/>
      </c>
      <c r="D35">
        <f>IF(A35="",0,COUNTIF('Guest Pre-Orders'!C2:F32,A35))</f>
        <v>0</v>
      </c>
      <c r="E35">
        <f>IF(A35="",0,SUMIF('Counts Pre-Orders'!B:B,A35,'Counts Pre-Orders'!D:D))</f>
        <v>0</v>
      </c>
      <c r="F35">
        <f t="shared" si="0"/>
        <v>0</v>
      </c>
      <c r="G35" t="e">
        <f t="shared" si="1"/>
        <v>#VALUE!</v>
      </c>
    </row>
    <row r="36" spans="1:7">
      <c r="A36" t="str">
        <f>IFERROR(INDEX(Menu!$B$2:$B$500, MATCH(35, Menu!$L$2:$L$500, 0)),"")</f>
        <v/>
      </c>
      <c r="B36" t="str">
        <f>IF(A36="","",INDEX(Menu!$A$2:$A$500, MATCH(A36, Menu!$B$2:$B$500, 0)))</f>
        <v/>
      </c>
      <c r="C36" t="str">
        <f>IF(A36="","",INDEX(Menu!$D$2:$D$500, MATCH(A36, Menu!$B$2:$B$500, 0)))</f>
        <v/>
      </c>
      <c r="D36">
        <f>IF(A36="",0,COUNTIF('Guest Pre-Orders'!C2:F32,A36))</f>
        <v>0</v>
      </c>
      <c r="E36">
        <f>IF(A36="",0,SUMIF('Counts Pre-Orders'!B:B,A36,'Counts Pre-Orders'!D:D))</f>
        <v>0</v>
      </c>
      <c r="F36">
        <f t="shared" si="0"/>
        <v>0</v>
      </c>
      <c r="G36" t="e">
        <f t="shared" si="1"/>
        <v>#VALUE!</v>
      </c>
    </row>
    <row r="37" spans="1:7">
      <c r="A37" t="str">
        <f>IFERROR(INDEX(Menu!$B$2:$B$500, MATCH(36, Menu!$L$2:$L$500, 0)),"")</f>
        <v/>
      </c>
      <c r="B37" t="str">
        <f>IF(A37="","",INDEX(Menu!$A$2:$A$500, MATCH(A37, Menu!$B$2:$B$500, 0)))</f>
        <v/>
      </c>
      <c r="C37" t="str">
        <f>IF(A37="","",INDEX(Menu!$D$2:$D$500, MATCH(A37, Menu!$B$2:$B$500, 0)))</f>
        <v/>
      </c>
      <c r="D37">
        <f>IF(A37="",0,COUNTIF('Guest Pre-Orders'!C2:F32,A37))</f>
        <v>0</v>
      </c>
      <c r="E37">
        <f>IF(A37="",0,SUMIF('Counts Pre-Orders'!B:B,A37,'Counts Pre-Orders'!D:D))</f>
        <v>0</v>
      </c>
      <c r="F37">
        <f t="shared" si="0"/>
        <v>0</v>
      </c>
      <c r="G37" t="e">
        <f t="shared" si="1"/>
        <v>#VALUE!</v>
      </c>
    </row>
    <row r="38" spans="1:7">
      <c r="A38" t="str">
        <f>IFERROR(INDEX(Menu!$B$2:$B$500, MATCH(37, Menu!$L$2:$L$500, 0)),"")</f>
        <v/>
      </c>
      <c r="B38" t="str">
        <f>IF(A38="","",INDEX(Menu!$A$2:$A$500, MATCH(A38, Menu!$B$2:$B$500, 0)))</f>
        <v/>
      </c>
      <c r="C38" t="str">
        <f>IF(A38="","",INDEX(Menu!$D$2:$D$500, MATCH(A38, Menu!$B$2:$B$500, 0)))</f>
        <v/>
      </c>
      <c r="D38">
        <f>IF(A38="",0,COUNTIF('Guest Pre-Orders'!C2:F32,A38))</f>
        <v>0</v>
      </c>
      <c r="E38">
        <f>IF(A38="",0,SUMIF('Counts Pre-Orders'!B:B,A38,'Counts Pre-Orders'!D:D))</f>
        <v>0</v>
      </c>
      <c r="F38">
        <f t="shared" si="0"/>
        <v>0</v>
      </c>
      <c r="G38" t="e">
        <f t="shared" si="1"/>
        <v>#VALUE!</v>
      </c>
    </row>
    <row r="39" spans="1:7">
      <c r="A39" t="str">
        <f>IFERROR(INDEX(Menu!$B$2:$B$500, MATCH(38, Menu!$L$2:$L$500, 0)),"")</f>
        <v/>
      </c>
      <c r="B39" t="str">
        <f>IF(A39="","",INDEX(Menu!$A$2:$A$500, MATCH(A39, Menu!$B$2:$B$500, 0)))</f>
        <v/>
      </c>
      <c r="C39" t="str">
        <f>IF(A39="","",INDEX(Menu!$D$2:$D$500, MATCH(A39, Menu!$B$2:$B$500, 0)))</f>
        <v/>
      </c>
      <c r="D39">
        <f>IF(A39="",0,COUNTIF('Guest Pre-Orders'!C2:F32,A39))</f>
        <v>0</v>
      </c>
      <c r="E39">
        <f>IF(A39="",0,SUMIF('Counts Pre-Orders'!B:B,A39,'Counts Pre-Orders'!D:D))</f>
        <v>0</v>
      </c>
      <c r="F39">
        <f t="shared" si="0"/>
        <v>0</v>
      </c>
      <c r="G39" t="e">
        <f t="shared" si="1"/>
        <v>#VALUE!</v>
      </c>
    </row>
    <row r="40" spans="1:7">
      <c r="A40" t="str">
        <f>IFERROR(INDEX(Menu!$B$2:$B$500, MATCH(39, Menu!$L$2:$L$500, 0)),"")</f>
        <v/>
      </c>
      <c r="B40" t="str">
        <f>IF(A40="","",INDEX(Menu!$A$2:$A$500, MATCH(A40, Menu!$B$2:$B$500, 0)))</f>
        <v/>
      </c>
      <c r="C40" t="str">
        <f>IF(A40="","",INDEX(Menu!$D$2:$D$500, MATCH(A40, Menu!$B$2:$B$500, 0)))</f>
        <v/>
      </c>
      <c r="D40">
        <f>IF(A40="",0,COUNTIF('Guest Pre-Orders'!C2:F32,A40))</f>
        <v>0</v>
      </c>
      <c r="E40">
        <f>IF(A40="",0,SUMIF('Counts Pre-Orders'!B:B,A40,'Counts Pre-Orders'!D:D))</f>
        <v>0</v>
      </c>
      <c r="F40">
        <f t="shared" si="0"/>
        <v>0</v>
      </c>
      <c r="G40" t="e">
        <f t="shared" si="1"/>
        <v>#VALUE!</v>
      </c>
    </row>
    <row r="41" spans="1:7">
      <c r="A41" t="str">
        <f>IFERROR(INDEX(Menu!$B$2:$B$500, MATCH(40, Menu!$L$2:$L$500, 0)),"")</f>
        <v/>
      </c>
      <c r="B41" t="str">
        <f>IF(A41="","",INDEX(Menu!$A$2:$A$500, MATCH(A41, Menu!$B$2:$B$500, 0)))</f>
        <v/>
      </c>
      <c r="C41" t="str">
        <f>IF(A41="","",INDEX(Menu!$D$2:$D$500, MATCH(A41, Menu!$B$2:$B$500, 0)))</f>
        <v/>
      </c>
      <c r="D41">
        <f>IF(A41="",0,COUNTIF('Guest Pre-Orders'!C2:F32,A41))</f>
        <v>0</v>
      </c>
      <c r="E41">
        <f>IF(A41="",0,SUMIF('Counts Pre-Orders'!B:B,A41,'Counts Pre-Orders'!D:D))</f>
        <v>0</v>
      </c>
      <c r="F41">
        <f t="shared" si="0"/>
        <v>0</v>
      </c>
      <c r="G41" t="e">
        <f t="shared" si="1"/>
        <v>#VALUE!</v>
      </c>
    </row>
    <row r="42" spans="1:7">
      <c r="A42" t="str">
        <f>IFERROR(INDEX(Menu!$B$2:$B$500, MATCH(41, Menu!$L$2:$L$500, 0)),"")</f>
        <v/>
      </c>
      <c r="B42" t="str">
        <f>IF(A42="","",INDEX(Menu!$A$2:$A$500, MATCH(A42, Menu!$B$2:$B$500, 0)))</f>
        <v/>
      </c>
      <c r="C42" t="str">
        <f>IF(A42="","",INDEX(Menu!$D$2:$D$500, MATCH(A42, Menu!$B$2:$B$500, 0)))</f>
        <v/>
      </c>
      <c r="D42">
        <f>IF(A42="",0,COUNTIF('Guest Pre-Orders'!C2:F32,A42))</f>
        <v>0</v>
      </c>
      <c r="E42">
        <f>IF(A42="",0,SUMIF('Counts Pre-Orders'!B:B,A42,'Counts Pre-Orders'!D:D))</f>
        <v>0</v>
      </c>
      <c r="F42">
        <f t="shared" si="0"/>
        <v>0</v>
      </c>
      <c r="G42" t="e">
        <f t="shared" si="1"/>
        <v>#VALUE!</v>
      </c>
    </row>
    <row r="43" spans="1:7">
      <c r="A43" t="str">
        <f>IFERROR(INDEX(Menu!$B$2:$B$500, MATCH(42, Menu!$L$2:$L$500, 0)),"")</f>
        <v/>
      </c>
      <c r="B43" t="str">
        <f>IF(A43="","",INDEX(Menu!$A$2:$A$500, MATCH(A43, Menu!$B$2:$B$500, 0)))</f>
        <v/>
      </c>
      <c r="C43" t="str">
        <f>IF(A43="","",INDEX(Menu!$D$2:$D$500, MATCH(A43, Menu!$B$2:$B$500, 0)))</f>
        <v/>
      </c>
      <c r="D43">
        <f>IF(A43="",0,COUNTIF('Guest Pre-Orders'!C2:F32,A43))</f>
        <v>0</v>
      </c>
      <c r="E43">
        <f>IF(A43="",0,SUMIF('Counts Pre-Orders'!B:B,A43,'Counts Pre-Orders'!D:D))</f>
        <v>0</v>
      </c>
      <c r="F43">
        <f t="shared" si="0"/>
        <v>0</v>
      </c>
      <c r="G43" t="e">
        <f t="shared" si="1"/>
        <v>#VALUE!</v>
      </c>
    </row>
    <row r="44" spans="1:7">
      <c r="A44" t="str">
        <f>IFERROR(INDEX(Menu!$B$2:$B$500, MATCH(43, Menu!$L$2:$L$500, 0)),"")</f>
        <v/>
      </c>
      <c r="B44" t="str">
        <f>IF(A44="","",INDEX(Menu!$A$2:$A$500, MATCH(A44, Menu!$B$2:$B$500, 0)))</f>
        <v/>
      </c>
      <c r="C44" t="str">
        <f>IF(A44="","",INDEX(Menu!$D$2:$D$500, MATCH(A44, Menu!$B$2:$B$500, 0)))</f>
        <v/>
      </c>
      <c r="D44">
        <f>IF(A44="",0,COUNTIF('Guest Pre-Orders'!C2:F32,A44))</f>
        <v>0</v>
      </c>
      <c r="E44">
        <f>IF(A44="",0,SUMIF('Counts Pre-Orders'!B:B,A44,'Counts Pre-Orders'!D:D))</f>
        <v>0</v>
      </c>
      <c r="F44">
        <f t="shared" si="0"/>
        <v>0</v>
      </c>
      <c r="G44" t="e">
        <f t="shared" si="1"/>
        <v>#VALUE!</v>
      </c>
    </row>
    <row r="45" spans="1:7">
      <c r="A45" t="str">
        <f>IFERROR(INDEX(Menu!$B$2:$B$500, MATCH(44, Menu!$L$2:$L$500, 0)),"")</f>
        <v/>
      </c>
      <c r="B45" t="str">
        <f>IF(A45="","",INDEX(Menu!$A$2:$A$500, MATCH(A45, Menu!$B$2:$B$500, 0)))</f>
        <v/>
      </c>
      <c r="C45" t="str">
        <f>IF(A45="","",INDEX(Menu!$D$2:$D$500, MATCH(A45, Menu!$B$2:$B$500, 0)))</f>
        <v/>
      </c>
      <c r="D45">
        <f>IF(A45="",0,COUNTIF('Guest Pre-Orders'!C2:F32,A45))</f>
        <v>0</v>
      </c>
      <c r="E45">
        <f>IF(A45="",0,SUMIF('Counts Pre-Orders'!B:B,A45,'Counts Pre-Orders'!D:D))</f>
        <v>0</v>
      </c>
      <c r="F45">
        <f t="shared" si="0"/>
        <v>0</v>
      </c>
      <c r="G45" t="e">
        <f t="shared" si="1"/>
        <v>#VALUE!</v>
      </c>
    </row>
    <row r="46" spans="1:7">
      <c r="A46" t="str">
        <f>IFERROR(INDEX(Menu!$B$2:$B$500, MATCH(45, Menu!$L$2:$L$500, 0)),"")</f>
        <v/>
      </c>
      <c r="B46" t="str">
        <f>IF(A46="","",INDEX(Menu!$A$2:$A$500, MATCH(A46, Menu!$B$2:$B$500, 0)))</f>
        <v/>
      </c>
      <c r="C46" t="str">
        <f>IF(A46="","",INDEX(Menu!$D$2:$D$500, MATCH(A46, Menu!$B$2:$B$500, 0)))</f>
        <v/>
      </c>
      <c r="D46">
        <f>IF(A46="",0,COUNTIF('Guest Pre-Orders'!C2:F32,A46))</f>
        <v>0</v>
      </c>
      <c r="E46">
        <f>IF(A46="",0,SUMIF('Counts Pre-Orders'!B:B,A46,'Counts Pre-Orders'!D:D))</f>
        <v>0</v>
      </c>
      <c r="F46">
        <f t="shared" si="0"/>
        <v>0</v>
      </c>
      <c r="G46" t="e">
        <f t="shared" si="1"/>
        <v>#VALUE!</v>
      </c>
    </row>
    <row r="47" spans="1:7">
      <c r="A47" t="str">
        <f>IFERROR(INDEX(Menu!$B$2:$B$500, MATCH(46, Menu!$L$2:$L$500, 0)),"")</f>
        <v/>
      </c>
      <c r="B47" t="str">
        <f>IF(A47="","",INDEX(Menu!$A$2:$A$500, MATCH(A47, Menu!$B$2:$B$500, 0)))</f>
        <v/>
      </c>
      <c r="C47" t="str">
        <f>IF(A47="","",INDEX(Menu!$D$2:$D$500, MATCH(A47, Menu!$B$2:$B$500, 0)))</f>
        <v/>
      </c>
      <c r="D47">
        <f>IF(A47="",0,COUNTIF('Guest Pre-Orders'!C2:F32,A47))</f>
        <v>0</v>
      </c>
      <c r="E47">
        <f>IF(A47="",0,SUMIF('Counts Pre-Orders'!B:B,A47,'Counts Pre-Orders'!D:D))</f>
        <v>0</v>
      </c>
      <c r="F47">
        <f t="shared" si="0"/>
        <v>0</v>
      </c>
      <c r="G47" t="e">
        <f t="shared" si="1"/>
        <v>#VALUE!</v>
      </c>
    </row>
    <row r="48" spans="1:7">
      <c r="A48" t="str">
        <f>IFERROR(INDEX(Menu!$B$2:$B$500, MATCH(47, Menu!$L$2:$L$500, 0)),"")</f>
        <v/>
      </c>
      <c r="B48" t="str">
        <f>IF(A48="","",INDEX(Menu!$A$2:$A$500, MATCH(A48, Menu!$B$2:$B$500, 0)))</f>
        <v/>
      </c>
      <c r="C48" t="str">
        <f>IF(A48="","",INDEX(Menu!$D$2:$D$500, MATCH(A48, Menu!$B$2:$B$500, 0)))</f>
        <v/>
      </c>
      <c r="D48">
        <f>IF(A48="",0,COUNTIF('Guest Pre-Orders'!C2:F32,A48))</f>
        <v>0</v>
      </c>
      <c r="E48">
        <f>IF(A48="",0,SUMIF('Counts Pre-Orders'!B:B,A48,'Counts Pre-Orders'!D:D))</f>
        <v>0</v>
      </c>
      <c r="F48">
        <f t="shared" si="0"/>
        <v>0</v>
      </c>
      <c r="G48" t="e">
        <f t="shared" si="1"/>
        <v>#VALUE!</v>
      </c>
    </row>
    <row r="49" spans="1:7">
      <c r="A49" t="str">
        <f>IFERROR(INDEX(Menu!$B$2:$B$500, MATCH(48, Menu!$L$2:$L$500, 0)),"")</f>
        <v/>
      </c>
      <c r="B49" t="str">
        <f>IF(A49="","",INDEX(Menu!$A$2:$A$500, MATCH(A49, Menu!$B$2:$B$500, 0)))</f>
        <v/>
      </c>
      <c r="C49" t="str">
        <f>IF(A49="","",INDEX(Menu!$D$2:$D$500, MATCH(A49, Menu!$B$2:$B$500, 0)))</f>
        <v/>
      </c>
      <c r="D49">
        <f>IF(A49="",0,COUNTIF('Guest Pre-Orders'!C2:F32,A49))</f>
        <v>0</v>
      </c>
      <c r="E49">
        <f>IF(A49="",0,SUMIF('Counts Pre-Orders'!B:B,A49,'Counts Pre-Orders'!D:D))</f>
        <v>0</v>
      </c>
      <c r="F49">
        <f t="shared" si="0"/>
        <v>0</v>
      </c>
      <c r="G49" t="e">
        <f t="shared" si="1"/>
        <v>#VALUE!</v>
      </c>
    </row>
    <row r="50" spans="1:7">
      <c r="A50" t="str">
        <f>IFERROR(INDEX(Menu!$B$2:$B$500, MATCH(49, Menu!$L$2:$L$500, 0)),"")</f>
        <v/>
      </c>
      <c r="B50" t="str">
        <f>IF(A50="","",INDEX(Menu!$A$2:$A$500, MATCH(A50, Menu!$B$2:$B$500, 0)))</f>
        <v/>
      </c>
      <c r="C50" t="str">
        <f>IF(A50="","",INDEX(Menu!$D$2:$D$500, MATCH(A50, Menu!$B$2:$B$500, 0)))</f>
        <v/>
      </c>
      <c r="D50">
        <f>IF(A50="",0,COUNTIF('Guest Pre-Orders'!C2:F32,A50))</f>
        <v>0</v>
      </c>
      <c r="E50">
        <f>IF(A50="",0,SUMIF('Counts Pre-Orders'!B:B,A50,'Counts Pre-Orders'!D:D))</f>
        <v>0</v>
      </c>
      <c r="F50">
        <f t="shared" si="0"/>
        <v>0</v>
      </c>
      <c r="G50" t="e">
        <f t="shared" si="1"/>
        <v>#VALUE!</v>
      </c>
    </row>
    <row r="51" spans="1:7">
      <c r="A51" t="str">
        <f>IFERROR(INDEX(Menu!$B$2:$B$500, MATCH(50, Menu!$L$2:$L$500, 0)),"")</f>
        <v/>
      </c>
      <c r="B51" t="str">
        <f>IF(A51="","",INDEX(Menu!$A$2:$A$500, MATCH(A51, Menu!$B$2:$B$500, 0)))</f>
        <v/>
      </c>
      <c r="C51" t="str">
        <f>IF(A51="","",INDEX(Menu!$D$2:$D$500, MATCH(A51, Menu!$B$2:$B$500, 0)))</f>
        <v/>
      </c>
      <c r="D51">
        <f>IF(A51="",0,COUNTIF('Guest Pre-Orders'!C2:F32,A51))</f>
        <v>0</v>
      </c>
      <c r="E51">
        <f>IF(A51="",0,SUMIF('Counts Pre-Orders'!B:B,A51,'Counts Pre-Orders'!D:D))</f>
        <v>0</v>
      </c>
      <c r="F51">
        <f t="shared" si="0"/>
        <v>0</v>
      </c>
      <c r="G51" t="e">
        <f t="shared" si="1"/>
        <v>#VALUE!</v>
      </c>
    </row>
    <row r="52" spans="1:7">
      <c r="A52" t="str">
        <f>IFERROR(INDEX(Menu!$B$2:$B$500, MATCH(51, Menu!$L$2:$L$500, 0)),"")</f>
        <v/>
      </c>
      <c r="B52" t="str">
        <f>IF(A52="","",INDEX(Menu!$A$2:$A$500, MATCH(A52, Menu!$B$2:$B$500, 0)))</f>
        <v/>
      </c>
      <c r="C52" t="str">
        <f>IF(A52="","",INDEX(Menu!$D$2:$D$500, MATCH(A52, Menu!$B$2:$B$500, 0)))</f>
        <v/>
      </c>
      <c r="D52">
        <f>IF(A52="",0,COUNTIF('Guest Pre-Orders'!C2:F32,A52))</f>
        <v>0</v>
      </c>
      <c r="E52">
        <f>IF(A52="",0,SUMIF('Counts Pre-Orders'!B:B,A52,'Counts Pre-Orders'!D:D))</f>
        <v>0</v>
      </c>
      <c r="F52">
        <f t="shared" si="0"/>
        <v>0</v>
      </c>
      <c r="G52" t="e">
        <f t="shared" si="1"/>
        <v>#VALUE!</v>
      </c>
    </row>
    <row r="53" spans="1:7">
      <c r="A53" t="str">
        <f>IFERROR(INDEX(Menu!$B$2:$B$500, MATCH(52, Menu!$L$2:$L$500, 0)),"")</f>
        <v/>
      </c>
      <c r="B53" t="str">
        <f>IF(A53="","",INDEX(Menu!$A$2:$A$500, MATCH(A53, Menu!$B$2:$B$500, 0)))</f>
        <v/>
      </c>
      <c r="C53" t="str">
        <f>IF(A53="","",INDEX(Menu!$D$2:$D$500, MATCH(A53, Menu!$B$2:$B$500, 0)))</f>
        <v/>
      </c>
      <c r="D53">
        <f>IF(A53="",0,COUNTIF('Guest Pre-Orders'!C2:F32,A53))</f>
        <v>0</v>
      </c>
      <c r="E53">
        <f>IF(A53="",0,SUMIF('Counts Pre-Orders'!B:B,A53,'Counts Pre-Orders'!D:D))</f>
        <v>0</v>
      </c>
      <c r="F53">
        <f t="shared" si="0"/>
        <v>0</v>
      </c>
      <c r="G53" t="e">
        <f t="shared" si="1"/>
        <v>#VALUE!</v>
      </c>
    </row>
    <row r="54" spans="1:7">
      <c r="A54" t="str">
        <f>IFERROR(INDEX(Menu!$B$2:$B$500, MATCH(53, Menu!$L$2:$L$500, 0)),"")</f>
        <v/>
      </c>
      <c r="B54" t="str">
        <f>IF(A54="","",INDEX(Menu!$A$2:$A$500, MATCH(A54, Menu!$B$2:$B$500, 0)))</f>
        <v/>
      </c>
      <c r="C54" t="str">
        <f>IF(A54="","",INDEX(Menu!$D$2:$D$500, MATCH(A54, Menu!$B$2:$B$500, 0)))</f>
        <v/>
      </c>
      <c r="D54">
        <f>IF(A54="",0,COUNTIF('Guest Pre-Orders'!C2:F32,A54))</f>
        <v>0</v>
      </c>
      <c r="E54">
        <f>IF(A54="",0,SUMIF('Counts Pre-Orders'!B:B,A54,'Counts Pre-Orders'!D:D))</f>
        <v>0</v>
      </c>
      <c r="F54">
        <f t="shared" si="0"/>
        <v>0</v>
      </c>
      <c r="G54" t="e">
        <f t="shared" si="1"/>
        <v>#VALUE!</v>
      </c>
    </row>
    <row r="55" spans="1:7">
      <c r="A55" t="str">
        <f>IFERROR(INDEX(Menu!$B$2:$B$500, MATCH(54, Menu!$L$2:$L$500, 0)),"")</f>
        <v/>
      </c>
      <c r="B55" t="str">
        <f>IF(A55="","",INDEX(Menu!$A$2:$A$500, MATCH(A55, Menu!$B$2:$B$500, 0)))</f>
        <v/>
      </c>
      <c r="C55" t="str">
        <f>IF(A55="","",INDEX(Menu!$D$2:$D$500, MATCH(A55, Menu!$B$2:$B$500, 0)))</f>
        <v/>
      </c>
      <c r="D55">
        <f>IF(A55="",0,COUNTIF('Guest Pre-Orders'!C2:F32,A55))</f>
        <v>0</v>
      </c>
      <c r="E55">
        <f>IF(A55="",0,SUMIF('Counts Pre-Orders'!B:B,A55,'Counts Pre-Orders'!D:D))</f>
        <v>0</v>
      </c>
      <c r="F55">
        <f t="shared" si="0"/>
        <v>0</v>
      </c>
      <c r="G55" t="e">
        <f t="shared" si="1"/>
        <v>#VALUE!</v>
      </c>
    </row>
    <row r="56" spans="1:7">
      <c r="A56" t="str">
        <f>IFERROR(INDEX(Menu!$B$2:$B$500, MATCH(55, Menu!$L$2:$L$500, 0)),"")</f>
        <v/>
      </c>
      <c r="B56" t="str">
        <f>IF(A56="","",INDEX(Menu!$A$2:$A$500, MATCH(A56, Menu!$B$2:$B$500, 0)))</f>
        <v/>
      </c>
      <c r="C56" t="str">
        <f>IF(A56="","",INDEX(Menu!$D$2:$D$500, MATCH(A56, Menu!$B$2:$B$500, 0)))</f>
        <v/>
      </c>
      <c r="D56">
        <f>IF(A56="",0,COUNTIF('Guest Pre-Orders'!C2:F32,A56))</f>
        <v>0</v>
      </c>
      <c r="E56">
        <f>IF(A56="",0,SUMIF('Counts Pre-Orders'!B:B,A56,'Counts Pre-Orders'!D:D))</f>
        <v>0</v>
      </c>
      <c r="F56">
        <f t="shared" si="0"/>
        <v>0</v>
      </c>
      <c r="G56" t="e">
        <f t="shared" si="1"/>
        <v>#VALUE!</v>
      </c>
    </row>
    <row r="57" spans="1:7">
      <c r="A57" t="str">
        <f>IFERROR(INDEX(Menu!$B$2:$B$500, MATCH(56, Menu!$L$2:$L$500, 0)),"")</f>
        <v/>
      </c>
      <c r="B57" t="str">
        <f>IF(A57="","",INDEX(Menu!$A$2:$A$500, MATCH(A57, Menu!$B$2:$B$500, 0)))</f>
        <v/>
      </c>
      <c r="C57" t="str">
        <f>IF(A57="","",INDEX(Menu!$D$2:$D$500, MATCH(A57, Menu!$B$2:$B$500, 0)))</f>
        <v/>
      </c>
      <c r="D57">
        <f>IF(A57="",0,COUNTIF('Guest Pre-Orders'!C2:F32,A57))</f>
        <v>0</v>
      </c>
      <c r="E57">
        <f>IF(A57="",0,SUMIF('Counts Pre-Orders'!B:B,A57,'Counts Pre-Orders'!D:D))</f>
        <v>0</v>
      </c>
      <c r="F57">
        <f t="shared" si="0"/>
        <v>0</v>
      </c>
      <c r="G57" t="e">
        <f t="shared" si="1"/>
        <v>#VALUE!</v>
      </c>
    </row>
    <row r="58" spans="1:7">
      <c r="A58" t="str">
        <f>IFERROR(INDEX(Menu!$B$2:$B$500, MATCH(57, Menu!$L$2:$L$500, 0)),"")</f>
        <v/>
      </c>
      <c r="B58" t="str">
        <f>IF(A58="","",INDEX(Menu!$A$2:$A$500, MATCH(A58, Menu!$B$2:$B$500, 0)))</f>
        <v/>
      </c>
      <c r="C58" t="str">
        <f>IF(A58="","",INDEX(Menu!$D$2:$D$500, MATCH(A58, Menu!$B$2:$B$500, 0)))</f>
        <v/>
      </c>
      <c r="D58">
        <f>IF(A58="",0,COUNTIF('Guest Pre-Orders'!C2:F32,A58))</f>
        <v>0</v>
      </c>
      <c r="E58">
        <f>IF(A58="",0,SUMIF('Counts Pre-Orders'!B:B,A58,'Counts Pre-Orders'!D:D))</f>
        <v>0</v>
      </c>
      <c r="F58">
        <f t="shared" si="0"/>
        <v>0</v>
      </c>
      <c r="G58" t="e">
        <f t="shared" si="1"/>
        <v>#VALUE!</v>
      </c>
    </row>
    <row r="59" spans="1:7">
      <c r="A59" t="str">
        <f>IFERROR(INDEX(Menu!$B$2:$B$500, MATCH(58, Menu!$L$2:$L$500, 0)),"")</f>
        <v/>
      </c>
      <c r="B59" t="str">
        <f>IF(A59="","",INDEX(Menu!$A$2:$A$500, MATCH(A59, Menu!$B$2:$B$500, 0)))</f>
        <v/>
      </c>
      <c r="C59" t="str">
        <f>IF(A59="","",INDEX(Menu!$D$2:$D$500, MATCH(A59, Menu!$B$2:$B$500, 0)))</f>
        <v/>
      </c>
      <c r="D59">
        <f>IF(A59="",0,COUNTIF('Guest Pre-Orders'!C2:F32,A59))</f>
        <v>0</v>
      </c>
      <c r="E59">
        <f>IF(A59="",0,SUMIF('Counts Pre-Orders'!B:B,A59,'Counts Pre-Orders'!D:D))</f>
        <v>0</v>
      </c>
      <c r="F59">
        <f t="shared" si="0"/>
        <v>0</v>
      </c>
      <c r="G59" t="e">
        <f t="shared" si="1"/>
        <v>#VALUE!</v>
      </c>
    </row>
    <row r="60" spans="1:7">
      <c r="A60" t="str">
        <f>IFERROR(INDEX(Menu!$B$2:$B$500, MATCH(59, Menu!$L$2:$L$500, 0)),"")</f>
        <v/>
      </c>
      <c r="B60" t="str">
        <f>IF(A60="","",INDEX(Menu!$A$2:$A$500, MATCH(A60, Menu!$B$2:$B$500, 0)))</f>
        <v/>
      </c>
      <c r="C60" t="str">
        <f>IF(A60="","",INDEX(Menu!$D$2:$D$500, MATCH(A60, Menu!$B$2:$B$500, 0)))</f>
        <v/>
      </c>
      <c r="D60">
        <f>IF(A60="",0,COUNTIF('Guest Pre-Orders'!C2:F32,A60))</f>
        <v>0</v>
      </c>
      <c r="E60">
        <f>IF(A60="",0,SUMIF('Counts Pre-Orders'!B:B,A60,'Counts Pre-Orders'!D:D))</f>
        <v>0</v>
      </c>
      <c r="F60">
        <f t="shared" si="0"/>
        <v>0</v>
      </c>
      <c r="G60" t="e">
        <f t="shared" si="1"/>
        <v>#VALUE!</v>
      </c>
    </row>
    <row r="61" spans="1:7">
      <c r="A61" t="str">
        <f>IFERROR(INDEX(Menu!$B$2:$B$500, MATCH(60, Menu!$L$2:$L$500, 0)),"")</f>
        <v/>
      </c>
      <c r="B61" t="str">
        <f>IF(A61="","",INDEX(Menu!$A$2:$A$500, MATCH(A61, Menu!$B$2:$B$500, 0)))</f>
        <v/>
      </c>
      <c r="C61" t="str">
        <f>IF(A61="","",INDEX(Menu!$D$2:$D$500, MATCH(A61, Menu!$B$2:$B$500, 0)))</f>
        <v/>
      </c>
      <c r="D61">
        <f>IF(A61="",0,COUNTIF('Guest Pre-Orders'!C2:F32,A61))</f>
        <v>0</v>
      </c>
      <c r="E61">
        <f>IF(A61="",0,SUMIF('Counts Pre-Orders'!B:B,A61,'Counts Pre-Orders'!D:D))</f>
        <v>0</v>
      </c>
      <c r="F61">
        <f t="shared" si="0"/>
        <v>0</v>
      </c>
      <c r="G61" t="e">
        <f t="shared" si="1"/>
        <v>#VALUE!</v>
      </c>
    </row>
    <row r="62" spans="1:7">
      <c r="A62" t="str">
        <f>IFERROR(INDEX(Menu!$B$2:$B$500, MATCH(61, Menu!$L$2:$L$500, 0)),"")</f>
        <v/>
      </c>
      <c r="B62" t="str">
        <f>IF(A62="","",INDEX(Menu!$A$2:$A$500, MATCH(A62, Menu!$B$2:$B$500, 0)))</f>
        <v/>
      </c>
      <c r="C62" t="str">
        <f>IF(A62="","",INDEX(Menu!$D$2:$D$500, MATCH(A62, Menu!$B$2:$B$500, 0)))</f>
        <v/>
      </c>
      <c r="D62">
        <f>IF(A62="",0,COUNTIF('Guest Pre-Orders'!C2:F32,A62))</f>
        <v>0</v>
      </c>
      <c r="E62">
        <f>IF(A62="",0,SUMIF('Counts Pre-Orders'!B:B,A62,'Counts Pre-Orders'!D:D))</f>
        <v>0</v>
      </c>
      <c r="F62">
        <f t="shared" si="0"/>
        <v>0</v>
      </c>
      <c r="G62" t="e">
        <f t="shared" si="1"/>
        <v>#VALUE!</v>
      </c>
    </row>
    <row r="63" spans="1:7">
      <c r="A63" t="str">
        <f>IFERROR(INDEX(Menu!$B$2:$B$500, MATCH(62, Menu!$L$2:$L$500, 0)),"")</f>
        <v/>
      </c>
      <c r="B63" t="str">
        <f>IF(A63="","",INDEX(Menu!$A$2:$A$500, MATCH(A63, Menu!$B$2:$B$500, 0)))</f>
        <v/>
      </c>
      <c r="C63" t="str">
        <f>IF(A63="","",INDEX(Menu!$D$2:$D$500, MATCH(A63, Menu!$B$2:$B$500, 0)))</f>
        <v/>
      </c>
      <c r="D63">
        <f>IF(A63="",0,COUNTIF('Guest Pre-Orders'!C2:F32,A63))</f>
        <v>0</v>
      </c>
      <c r="E63">
        <f>IF(A63="",0,SUMIF('Counts Pre-Orders'!B:B,A63,'Counts Pre-Orders'!D:D))</f>
        <v>0</v>
      </c>
      <c r="F63">
        <f t="shared" si="0"/>
        <v>0</v>
      </c>
      <c r="G63" t="e">
        <f t="shared" si="1"/>
        <v>#VALUE!</v>
      </c>
    </row>
    <row r="64" spans="1:7">
      <c r="A64" t="str">
        <f>IFERROR(INDEX(Menu!$B$2:$B$500, MATCH(63, Menu!$L$2:$L$500, 0)),"")</f>
        <v/>
      </c>
      <c r="B64" t="str">
        <f>IF(A64="","",INDEX(Menu!$A$2:$A$500, MATCH(A64, Menu!$B$2:$B$500, 0)))</f>
        <v/>
      </c>
      <c r="C64" t="str">
        <f>IF(A64="","",INDEX(Menu!$D$2:$D$500, MATCH(A64, Menu!$B$2:$B$500, 0)))</f>
        <v/>
      </c>
      <c r="D64">
        <f>IF(A64="",0,COUNTIF('Guest Pre-Orders'!C2:F32,A64))</f>
        <v>0</v>
      </c>
      <c r="E64">
        <f>IF(A64="",0,SUMIF('Counts Pre-Orders'!B:B,A64,'Counts Pre-Orders'!D:D))</f>
        <v>0</v>
      </c>
      <c r="F64">
        <f t="shared" si="0"/>
        <v>0</v>
      </c>
      <c r="G64" t="e">
        <f t="shared" si="1"/>
        <v>#VALUE!</v>
      </c>
    </row>
    <row r="65" spans="1:7">
      <c r="A65" t="str">
        <f>IFERROR(INDEX(Menu!$B$2:$B$500, MATCH(64, Menu!$L$2:$L$500, 0)),"")</f>
        <v/>
      </c>
      <c r="B65" t="str">
        <f>IF(A65="","",INDEX(Menu!$A$2:$A$500, MATCH(A65, Menu!$B$2:$B$500, 0)))</f>
        <v/>
      </c>
      <c r="C65" t="str">
        <f>IF(A65="","",INDEX(Menu!$D$2:$D$500, MATCH(A65, Menu!$B$2:$B$500, 0)))</f>
        <v/>
      </c>
      <c r="D65">
        <f>IF(A65="",0,COUNTIF('Guest Pre-Orders'!C2:F32,A65))</f>
        <v>0</v>
      </c>
      <c r="E65">
        <f>IF(A65="",0,SUMIF('Counts Pre-Orders'!B:B,A65,'Counts Pre-Orders'!D:D))</f>
        <v>0</v>
      </c>
      <c r="F65">
        <f t="shared" si="0"/>
        <v>0</v>
      </c>
      <c r="G65" t="e">
        <f t="shared" si="1"/>
        <v>#VALUE!</v>
      </c>
    </row>
    <row r="66" spans="1:7">
      <c r="A66" t="str">
        <f>IFERROR(INDEX(Menu!$B$2:$B$500, MATCH(65, Menu!$L$2:$L$500, 0)),"")</f>
        <v/>
      </c>
      <c r="B66" t="str">
        <f>IF(A66="","",INDEX(Menu!$A$2:$A$500, MATCH(A66, Menu!$B$2:$B$500, 0)))</f>
        <v/>
      </c>
      <c r="C66" t="str">
        <f>IF(A66="","",INDEX(Menu!$D$2:$D$500, MATCH(A66, Menu!$B$2:$B$500, 0)))</f>
        <v/>
      </c>
      <c r="D66">
        <f>IF(A66="",0,COUNTIF('Guest Pre-Orders'!C2:F32,A66))</f>
        <v>0</v>
      </c>
      <c r="E66">
        <f>IF(A66="",0,SUMIF('Counts Pre-Orders'!B:B,A66,'Counts Pre-Orders'!D:D))</f>
        <v>0</v>
      </c>
      <c r="F66">
        <f t="shared" ref="F66:F129" si="2">D66+E66</f>
        <v>0</v>
      </c>
      <c r="G66" t="e">
        <f t="shared" ref="G66:G129" si="3">F66*C66</f>
        <v>#VALUE!</v>
      </c>
    </row>
    <row r="67" spans="1:7">
      <c r="A67" t="str">
        <f>IFERROR(INDEX(Menu!$B$2:$B$500, MATCH(66, Menu!$L$2:$L$500, 0)),"")</f>
        <v/>
      </c>
      <c r="B67" t="str">
        <f>IF(A67="","",INDEX(Menu!$A$2:$A$500, MATCH(A67, Menu!$B$2:$B$500, 0)))</f>
        <v/>
      </c>
      <c r="C67" t="str">
        <f>IF(A67="","",INDEX(Menu!$D$2:$D$500, MATCH(A67, Menu!$B$2:$B$500, 0)))</f>
        <v/>
      </c>
      <c r="D67">
        <f>IF(A67="",0,COUNTIF('Guest Pre-Orders'!C2:F32,A67))</f>
        <v>0</v>
      </c>
      <c r="E67">
        <f>IF(A67="",0,SUMIF('Counts Pre-Orders'!B:B,A67,'Counts Pre-Orders'!D:D))</f>
        <v>0</v>
      </c>
      <c r="F67">
        <f t="shared" si="2"/>
        <v>0</v>
      </c>
      <c r="G67" t="e">
        <f t="shared" si="3"/>
        <v>#VALUE!</v>
      </c>
    </row>
    <row r="68" spans="1:7">
      <c r="A68" t="str">
        <f>IFERROR(INDEX(Menu!$B$2:$B$500, MATCH(67, Menu!$L$2:$L$500, 0)),"")</f>
        <v/>
      </c>
      <c r="B68" t="str">
        <f>IF(A68="","",INDEX(Menu!$A$2:$A$500, MATCH(A68, Menu!$B$2:$B$500, 0)))</f>
        <v/>
      </c>
      <c r="C68" t="str">
        <f>IF(A68="","",INDEX(Menu!$D$2:$D$500, MATCH(A68, Menu!$B$2:$B$500, 0)))</f>
        <v/>
      </c>
      <c r="D68">
        <f>IF(A68="",0,COUNTIF('Guest Pre-Orders'!C2:F32,A68))</f>
        <v>0</v>
      </c>
      <c r="E68">
        <f>IF(A68="",0,SUMIF('Counts Pre-Orders'!B:B,A68,'Counts Pre-Orders'!D:D))</f>
        <v>0</v>
      </c>
      <c r="F68">
        <f t="shared" si="2"/>
        <v>0</v>
      </c>
      <c r="G68" t="e">
        <f t="shared" si="3"/>
        <v>#VALUE!</v>
      </c>
    </row>
    <row r="69" spans="1:7">
      <c r="A69" t="str">
        <f>IFERROR(INDEX(Menu!$B$2:$B$500, MATCH(68, Menu!$L$2:$L$500, 0)),"")</f>
        <v/>
      </c>
      <c r="B69" t="str">
        <f>IF(A69="","",INDEX(Menu!$A$2:$A$500, MATCH(A69, Menu!$B$2:$B$500, 0)))</f>
        <v/>
      </c>
      <c r="C69" t="str">
        <f>IF(A69="","",INDEX(Menu!$D$2:$D$500, MATCH(A69, Menu!$B$2:$B$500, 0)))</f>
        <v/>
      </c>
      <c r="D69">
        <f>IF(A69="",0,COUNTIF('Guest Pre-Orders'!C2:F32,A69))</f>
        <v>0</v>
      </c>
      <c r="E69">
        <f>IF(A69="",0,SUMIF('Counts Pre-Orders'!B:B,A69,'Counts Pre-Orders'!D:D))</f>
        <v>0</v>
      </c>
      <c r="F69">
        <f t="shared" si="2"/>
        <v>0</v>
      </c>
      <c r="G69" t="e">
        <f t="shared" si="3"/>
        <v>#VALUE!</v>
      </c>
    </row>
    <row r="70" spans="1:7">
      <c r="A70" t="str">
        <f>IFERROR(INDEX(Menu!$B$2:$B$500, MATCH(69, Menu!$L$2:$L$500, 0)),"")</f>
        <v/>
      </c>
      <c r="B70" t="str">
        <f>IF(A70="","",INDEX(Menu!$A$2:$A$500, MATCH(A70, Menu!$B$2:$B$500, 0)))</f>
        <v/>
      </c>
      <c r="C70" t="str">
        <f>IF(A70="","",INDEX(Menu!$D$2:$D$500, MATCH(A70, Menu!$B$2:$B$500, 0)))</f>
        <v/>
      </c>
      <c r="D70">
        <f>IF(A70="",0,COUNTIF('Guest Pre-Orders'!C2:F32,A70))</f>
        <v>0</v>
      </c>
      <c r="E70">
        <f>IF(A70="",0,SUMIF('Counts Pre-Orders'!B:B,A70,'Counts Pre-Orders'!D:D))</f>
        <v>0</v>
      </c>
      <c r="F70">
        <f t="shared" si="2"/>
        <v>0</v>
      </c>
      <c r="G70" t="e">
        <f t="shared" si="3"/>
        <v>#VALUE!</v>
      </c>
    </row>
    <row r="71" spans="1:7">
      <c r="A71" t="str">
        <f>IFERROR(INDEX(Menu!$B$2:$B$500, MATCH(70, Menu!$L$2:$L$500, 0)),"")</f>
        <v/>
      </c>
      <c r="B71" t="str">
        <f>IF(A71="","",INDEX(Menu!$A$2:$A$500, MATCH(A71, Menu!$B$2:$B$500, 0)))</f>
        <v/>
      </c>
      <c r="C71" t="str">
        <f>IF(A71="","",INDEX(Menu!$D$2:$D$500, MATCH(A71, Menu!$B$2:$B$500, 0)))</f>
        <v/>
      </c>
      <c r="D71">
        <f>IF(A71="",0,COUNTIF('Guest Pre-Orders'!C2:F32,A71))</f>
        <v>0</v>
      </c>
      <c r="E71">
        <f>IF(A71="",0,SUMIF('Counts Pre-Orders'!B:B,A71,'Counts Pre-Orders'!D:D))</f>
        <v>0</v>
      </c>
      <c r="F71">
        <f t="shared" si="2"/>
        <v>0</v>
      </c>
      <c r="G71" t="e">
        <f t="shared" si="3"/>
        <v>#VALUE!</v>
      </c>
    </row>
    <row r="72" spans="1:7">
      <c r="A72" t="str">
        <f>IFERROR(INDEX(Menu!$B$2:$B$500, MATCH(71, Menu!$L$2:$L$500, 0)),"")</f>
        <v/>
      </c>
      <c r="B72" t="str">
        <f>IF(A72="","",INDEX(Menu!$A$2:$A$500, MATCH(A72, Menu!$B$2:$B$500, 0)))</f>
        <v/>
      </c>
      <c r="C72" t="str">
        <f>IF(A72="","",INDEX(Menu!$D$2:$D$500, MATCH(A72, Menu!$B$2:$B$500, 0)))</f>
        <v/>
      </c>
      <c r="D72">
        <f>IF(A72="",0,COUNTIF('Guest Pre-Orders'!C2:F32,A72))</f>
        <v>0</v>
      </c>
      <c r="E72">
        <f>IF(A72="",0,SUMIF('Counts Pre-Orders'!B:B,A72,'Counts Pre-Orders'!D:D))</f>
        <v>0</v>
      </c>
      <c r="F72">
        <f t="shared" si="2"/>
        <v>0</v>
      </c>
      <c r="G72" t="e">
        <f t="shared" si="3"/>
        <v>#VALUE!</v>
      </c>
    </row>
    <row r="73" spans="1:7">
      <c r="A73" t="str">
        <f>IFERROR(INDEX(Menu!$B$2:$B$500, MATCH(72, Menu!$L$2:$L$500, 0)),"")</f>
        <v/>
      </c>
      <c r="B73" t="str">
        <f>IF(A73="","",INDEX(Menu!$A$2:$A$500, MATCH(A73, Menu!$B$2:$B$500, 0)))</f>
        <v/>
      </c>
      <c r="C73" t="str">
        <f>IF(A73="","",INDEX(Menu!$D$2:$D$500, MATCH(A73, Menu!$B$2:$B$500, 0)))</f>
        <v/>
      </c>
      <c r="D73">
        <f>IF(A73="",0,COUNTIF('Guest Pre-Orders'!C2:F32,A73))</f>
        <v>0</v>
      </c>
      <c r="E73">
        <f>IF(A73="",0,SUMIF('Counts Pre-Orders'!B:B,A73,'Counts Pre-Orders'!D:D))</f>
        <v>0</v>
      </c>
      <c r="F73">
        <f t="shared" si="2"/>
        <v>0</v>
      </c>
      <c r="G73" t="e">
        <f t="shared" si="3"/>
        <v>#VALUE!</v>
      </c>
    </row>
    <row r="74" spans="1:7">
      <c r="A74" t="str">
        <f>IFERROR(INDEX(Menu!$B$2:$B$500, MATCH(73, Menu!$L$2:$L$500, 0)),"")</f>
        <v/>
      </c>
      <c r="B74" t="str">
        <f>IF(A74="","",INDEX(Menu!$A$2:$A$500, MATCH(A74, Menu!$B$2:$B$500, 0)))</f>
        <v/>
      </c>
      <c r="C74" t="str">
        <f>IF(A74="","",INDEX(Menu!$D$2:$D$500, MATCH(A74, Menu!$B$2:$B$500, 0)))</f>
        <v/>
      </c>
      <c r="D74">
        <f>IF(A74="",0,COUNTIF('Guest Pre-Orders'!C2:F32,A74))</f>
        <v>0</v>
      </c>
      <c r="E74">
        <f>IF(A74="",0,SUMIF('Counts Pre-Orders'!B:B,A74,'Counts Pre-Orders'!D:D))</f>
        <v>0</v>
      </c>
      <c r="F74">
        <f t="shared" si="2"/>
        <v>0</v>
      </c>
      <c r="G74" t="e">
        <f t="shared" si="3"/>
        <v>#VALUE!</v>
      </c>
    </row>
    <row r="75" spans="1:7">
      <c r="A75" t="str">
        <f>IFERROR(INDEX(Menu!$B$2:$B$500, MATCH(74, Menu!$L$2:$L$500, 0)),"")</f>
        <v/>
      </c>
      <c r="B75" t="str">
        <f>IF(A75="","",INDEX(Menu!$A$2:$A$500, MATCH(A75, Menu!$B$2:$B$500, 0)))</f>
        <v/>
      </c>
      <c r="C75" t="str">
        <f>IF(A75="","",INDEX(Menu!$D$2:$D$500, MATCH(A75, Menu!$B$2:$B$500, 0)))</f>
        <v/>
      </c>
      <c r="D75">
        <f>IF(A75="",0,COUNTIF('Guest Pre-Orders'!C2:F32,A75))</f>
        <v>0</v>
      </c>
      <c r="E75">
        <f>IF(A75="",0,SUMIF('Counts Pre-Orders'!B:B,A75,'Counts Pre-Orders'!D:D))</f>
        <v>0</v>
      </c>
      <c r="F75">
        <f t="shared" si="2"/>
        <v>0</v>
      </c>
      <c r="G75" t="e">
        <f t="shared" si="3"/>
        <v>#VALUE!</v>
      </c>
    </row>
    <row r="76" spans="1:7">
      <c r="A76" t="str">
        <f>IFERROR(INDEX(Menu!$B$2:$B$500, MATCH(75, Menu!$L$2:$L$500, 0)),"")</f>
        <v/>
      </c>
      <c r="B76" t="str">
        <f>IF(A76="","",INDEX(Menu!$A$2:$A$500, MATCH(A76, Menu!$B$2:$B$500, 0)))</f>
        <v/>
      </c>
      <c r="C76" t="str">
        <f>IF(A76="","",INDEX(Menu!$D$2:$D$500, MATCH(A76, Menu!$B$2:$B$500, 0)))</f>
        <v/>
      </c>
      <c r="D76">
        <f>IF(A76="",0,COUNTIF('Guest Pre-Orders'!C2:F32,A76))</f>
        <v>0</v>
      </c>
      <c r="E76">
        <f>IF(A76="",0,SUMIF('Counts Pre-Orders'!B:B,A76,'Counts Pre-Orders'!D:D))</f>
        <v>0</v>
      </c>
      <c r="F76">
        <f t="shared" si="2"/>
        <v>0</v>
      </c>
      <c r="G76" t="e">
        <f t="shared" si="3"/>
        <v>#VALUE!</v>
      </c>
    </row>
    <row r="77" spans="1:7">
      <c r="A77" t="str">
        <f>IFERROR(INDEX(Menu!$B$2:$B$500, MATCH(76, Menu!$L$2:$L$500, 0)),"")</f>
        <v/>
      </c>
      <c r="B77" t="str">
        <f>IF(A77="","",INDEX(Menu!$A$2:$A$500, MATCH(A77, Menu!$B$2:$B$500, 0)))</f>
        <v/>
      </c>
      <c r="C77" t="str">
        <f>IF(A77="","",INDEX(Menu!$D$2:$D$500, MATCH(A77, Menu!$B$2:$B$500, 0)))</f>
        <v/>
      </c>
      <c r="D77">
        <f>IF(A77="",0,COUNTIF('Guest Pre-Orders'!C2:F32,A77))</f>
        <v>0</v>
      </c>
      <c r="E77">
        <f>IF(A77="",0,SUMIF('Counts Pre-Orders'!B:B,A77,'Counts Pre-Orders'!D:D))</f>
        <v>0</v>
      </c>
      <c r="F77">
        <f t="shared" si="2"/>
        <v>0</v>
      </c>
      <c r="G77" t="e">
        <f t="shared" si="3"/>
        <v>#VALUE!</v>
      </c>
    </row>
    <row r="78" spans="1:7">
      <c r="A78" t="str">
        <f>IFERROR(INDEX(Menu!$B$2:$B$500, MATCH(77, Menu!$L$2:$L$500, 0)),"")</f>
        <v/>
      </c>
      <c r="B78" t="str">
        <f>IF(A78="","",INDEX(Menu!$A$2:$A$500, MATCH(A78, Menu!$B$2:$B$500, 0)))</f>
        <v/>
      </c>
      <c r="C78" t="str">
        <f>IF(A78="","",INDEX(Menu!$D$2:$D$500, MATCH(A78, Menu!$B$2:$B$500, 0)))</f>
        <v/>
      </c>
      <c r="D78">
        <f>IF(A78="",0,COUNTIF('Guest Pre-Orders'!C2:F32,A78))</f>
        <v>0</v>
      </c>
      <c r="E78">
        <f>IF(A78="",0,SUMIF('Counts Pre-Orders'!B:B,A78,'Counts Pre-Orders'!D:D))</f>
        <v>0</v>
      </c>
      <c r="F78">
        <f t="shared" si="2"/>
        <v>0</v>
      </c>
      <c r="G78" t="e">
        <f t="shared" si="3"/>
        <v>#VALUE!</v>
      </c>
    </row>
    <row r="79" spans="1:7">
      <c r="A79" t="str">
        <f>IFERROR(INDEX(Menu!$B$2:$B$500, MATCH(78, Menu!$L$2:$L$500, 0)),"")</f>
        <v/>
      </c>
      <c r="B79" t="str">
        <f>IF(A79="","",INDEX(Menu!$A$2:$A$500, MATCH(A79, Menu!$B$2:$B$500, 0)))</f>
        <v/>
      </c>
      <c r="C79" t="str">
        <f>IF(A79="","",INDEX(Menu!$D$2:$D$500, MATCH(A79, Menu!$B$2:$B$500, 0)))</f>
        <v/>
      </c>
      <c r="D79">
        <f>IF(A79="",0,COUNTIF('Guest Pre-Orders'!C2:F32,A79))</f>
        <v>0</v>
      </c>
      <c r="E79">
        <f>IF(A79="",0,SUMIF('Counts Pre-Orders'!B:B,A79,'Counts Pre-Orders'!D:D))</f>
        <v>0</v>
      </c>
      <c r="F79">
        <f t="shared" si="2"/>
        <v>0</v>
      </c>
      <c r="G79" t="e">
        <f t="shared" si="3"/>
        <v>#VALUE!</v>
      </c>
    </row>
    <row r="80" spans="1:7">
      <c r="A80" t="str">
        <f>IFERROR(INDEX(Menu!$B$2:$B$500, MATCH(79, Menu!$L$2:$L$500, 0)),"")</f>
        <v/>
      </c>
      <c r="B80" t="str">
        <f>IF(A80="","",INDEX(Menu!$A$2:$A$500, MATCH(A80, Menu!$B$2:$B$500, 0)))</f>
        <v/>
      </c>
      <c r="C80" t="str">
        <f>IF(A80="","",INDEX(Menu!$D$2:$D$500, MATCH(A80, Menu!$B$2:$B$500, 0)))</f>
        <v/>
      </c>
      <c r="D80">
        <f>IF(A80="",0,COUNTIF('Guest Pre-Orders'!C2:F32,A80))</f>
        <v>0</v>
      </c>
      <c r="E80">
        <f>IF(A80="",0,SUMIF('Counts Pre-Orders'!B:B,A80,'Counts Pre-Orders'!D:D))</f>
        <v>0</v>
      </c>
      <c r="F80">
        <f t="shared" si="2"/>
        <v>0</v>
      </c>
      <c r="G80" t="e">
        <f t="shared" si="3"/>
        <v>#VALUE!</v>
      </c>
    </row>
    <row r="81" spans="1:7">
      <c r="A81" t="str">
        <f>IFERROR(INDEX(Menu!$B$2:$B$500, MATCH(80, Menu!$L$2:$L$500, 0)),"")</f>
        <v/>
      </c>
      <c r="B81" t="str">
        <f>IF(A81="","",INDEX(Menu!$A$2:$A$500, MATCH(A81, Menu!$B$2:$B$500, 0)))</f>
        <v/>
      </c>
      <c r="C81" t="str">
        <f>IF(A81="","",INDEX(Menu!$D$2:$D$500, MATCH(A81, Menu!$B$2:$B$500, 0)))</f>
        <v/>
      </c>
      <c r="D81">
        <f>IF(A81="",0,COUNTIF('Guest Pre-Orders'!C2:F32,A81))</f>
        <v>0</v>
      </c>
      <c r="E81">
        <f>IF(A81="",0,SUMIF('Counts Pre-Orders'!B:B,A81,'Counts Pre-Orders'!D:D))</f>
        <v>0</v>
      </c>
      <c r="F81">
        <f t="shared" si="2"/>
        <v>0</v>
      </c>
      <c r="G81" t="e">
        <f t="shared" si="3"/>
        <v>#VALUE!</v>
      </c>
    </row>
    <row r="82" spans="1:7">
      <c r="A82" t="str">
        <f>IFERROR(INDEX(Menu!$B$2:$B$500, MATCH(81, Menu!$L$2:$L$500, 0)),"")</f>
        <v/>
      </c>
      <c r="B82" t="str">
        <f>IF(A82="","",INDEX(Menu!$A$2:$A$500, MATCH(A82, Menu!$B$2:$B$500, 0)))</f>
        <v/>
      </c>
      <c r="C82" t="str">
        <f>IF(A82="","",INDEX(Menu!$D$2:$D$500, MATCH(A82, Menu!$B$2:$B$500, 0)))</f>
        <v/>
      </c>
      <c r="D82">
        <f>IF(A82="",0,COUNTIF('Guest Pre-Orders'!C2:F32,A82))</f>
        <v>0</v>
      </c>
      <c r="E82">
        <f>IF(A82="",0,SUMIF('Counts Pre-Orders'!B:B,A82,'Counts Pre-Orders'!D:D))</f>
        <v>0</v>
      </c>
      <c r="F82">
        <f t="shared" si="2"/>
        <v>0</v>
      </c>
      <c r="G82" t="e">
        <f t="shared" si="3"/>
        <v>#VALUE!</v>
      </c>
    </row>
    <row r="83" spans="1:7">
      <c r="A83" t="str">
        <f>IFERROR(INDEX(Menu!$B$2:$B$500, MATCH(82, Menu!$L$2:$L$500, 0)),"")</f>
        <v/>
      </c>
      <c r="B83" t="str">
        <f>IF(A83="","",INDEX(Menu!$A$2:$A$500, MATCH(A83, Menu!$B$2:$B$500, 0)))</f>
        <v/>
      </c>
      <c r="C83" t="str">
        <f>IF(A83="","",INDEX(Menu!$D$2:$D$500, MATCH(A83, Menu!$B$2:$B$500, 0)))</f>
        <v/>
      </c>
      <c r="D83">
        <f>IF(A83="",0,COUNTIF('Guest Pre-Orders'!C2:F32,A83))</f>
        <v>0</v>
      </c>
      <c r="E83">
        <f>IF(A83="",0,SUMIF('Counts Pre-Orders'!B:B,A83,'Counts Pre-Orders'!D:D))</f>
        <v>0</v>
      </c>
      <c r="F83">
        <f t="shared" si="2"/>
        <v>0</v>
      </c>
      <c r="G83" t="e">
        <f t="shared" si="3"/>
        <v>#VALUE!</v>
      </c>
    </row>
    <row r="84" spans="1:7">
      <c r="A84" t="str">
        <f>IFERROR(INDEX(Menu!$B$2:$B$500, MATCH(83, Menu!$L$2:$L$500, 0)),"")</f>
        <v/>
      </c>
      <c r="B84" t="str">
        <f>IF(A84="","",INDEX(Menu!$A$2:$A$500, MATCH(A84, Menu!$B$2:$B$500, 0)))</f>
        <v/>
      </c>
      <c r="C84" t="str">
        <f>IF(A84="","",INDEX(Menu!$D$2:$D$500, MATCH(A84, Menu!$B$2:$B$500, 0)))</f>
        <v/>
      </c>
      <c r="D84">
        <f>IF(A84="",0,COUNTIF('Guest Pre-Orders'!C2:F32,A84))</f>
        <v>0</v>
      </c>
      <c r="E84">
        <f>IF(A84="",0,SUMIF('Counts Pre-Orders'!B:B,A84,'Counts Pre-Orders'!D:D))</f>
        <v>0</v>
      </c>
      <c r="F84">
        <f t="shared" si="2"/>
        <v>0</v>
      </c>
      <c r="G84" t="e">
        <f t="shared" si="3"/>
        <v>#VALUE!</v>
      </c>
    </row>
    <row r="85" spans="1:7">
      <c r="A85" t="str">
        <f>IFERROR(INDEX(Menu!$B$2:$B$500, MATCH(84, Menu!$L$2:$L$500, 0)),"")</f>
        <v/>
      </c>
      <c r="B85" t="str">
        <f>IF(A85="","",INDEX(Menu!$A$2:$A$500, MATCH(A85, Menu!$B$2:$B$500, 0)))</f>
        <v/>
      </c>
      <c r="C85" t="str">
        <f>IF(A85="","",INDEX(Menu!$D$2:$D$500, MATCH(A85, Menu!$B$2:$B$500, 0)))</f>
        <v/>
      </c>
      <c r="D85">
        <f>IF(A85="",0,COUNTIF('Guest Pre-Orders'!C2:F32,A85))</f>
        <v>0</v>
      </c>
      <c r="E85">
        <f>IF(A85="",0,SUMIF('Counts Pre-Orders'!B:B,A85,'Counts Pre-Orders'!D:D))</f>
        <v>0</v>
      </c>
      <c r="F85">
        <f t="shared" si="2"/>
        <v>0</v>
      </c>
      <c r="G85" t="e">
        <f t="shared" si="3"/>
        <v>#VALUE!</v>
      </c>
    </row>
    <row r="86" spans="1:7">
      <c r="A86" t="str">
        <f>IFERROR(INDEX(Menu!$B$2:$B$500, MATCH(85, Menu!$L$2:$L$500, 0)),"")</f>
        <v/>
      </c>
      <c r="B86" t="str">
        <f>IF(A86="","",INDEX(Menu!$A$2:$A$500, MATCH(A86, Menu!$B$2:$B$500, 0)))</f>
        <v/>
      </c>
      <c r="C86" t="str">
        <f>IF(A86="","",INDEX(Menu!$D$2:$D$500, MATCH(A86, Menu!$B$2:$B$500, 0)))</f>
        <v/>
      </c>
      <c r="D86">
        <f>IF(A86="",0,COUNTIF('Guest Pre-Orders'!C2:F32,A86))</f>
        <v>0</v>
      </c>
      <c r="E86">
        <f>IF(A86="",0,SUMIF('Counts Pre-Orders'!B:B,A86,'Counts Pre-Orders'!D:D))</f>
        <v>0</v>
      </c>
      <c r="F86">
        <f t="shared" si="2"/>
        <v>0</v>
      </c>
      <c r="G86" t="e">
        <f t="shared" si="3"/>
        <v>#VALUE!</v>
      </c>
    </row>
    <row r="87" spans="1:7">
      <c r="A87" t="str">
        <f>IFERROR(INDEX(Menu!$B$2:$B$500, MATCH(86, Menu!$L$2:$L$500, 0)),"")</f>
        <v/>
      </c>
      <c r="B87" t="str">
        <f>IF(A87="","",INDEX(Menu!$A$2:$A$500, MATCH(A87, Menu!$B$2:$B$500, 0)))</f>
        <v/>
      </c>
      <c r="C87" t="str">
        <f>IF(A87="","",INDEX(Menu!$D$2:$D$500, MATCH(A87, Menu!$B$2:$B$500, 0)))</f>
        <v/>
      </c>
      <c r="D87">
        <f>IF(A87="",0,COUNTIF('Guest Pre-Orders'!C2:F32,A87))</f>
        <v>0</v>
      </c>
      <c r="E87">
        <f>IF(A87="",0,SUMIF('Counts Pre-Orders'!B:B,A87,'Counts Pre-Orders'!D:D))</f>
        <v>0</v>
      </c>
      <c r="F87">
        <f t="shared" si="2"/>
        <v>0</v>
      </c>
      <c r="G87" t="e">
        <f t="shared" si="3"/>
        <v>#VALUE!</v>
      </c>
    </row>
    <row r="88" spans="1:7">
      <c r="A88" t="str">
        <f>IFERROR(INDEX(Menu!$B$2:$B$500, MATCH(87, Menu!$L$2:$L$500, 0)),"")</f>
        <v/>
      </c>
      <c r="B88" t="str">
        <f>IF(A88="","",INDEX(Menu!$A$2:$A$500, MATCH(A88, Menu!$B$2:$B$500, 0)))</f>
        <v/>
      </c>
      <c r="C88" t="str">
        <f>IF(A88="","",INDEX(Menu!$D$2:$D$500, MATCH(A88, Menu!$B$2:$B$500, 0)))</f>
        <v/>
      </c>
      <c r="D88">
        <f>IF(A88="",0,COUNTIF('Guest Pre-Orders'!C2:F32,A88))</f>
        <v>0</v>
      </c>
      <c r="E88">
        <f>IF(A88="",0,SUMIF('Counts Pre-Orders'!B:B,A88,'Counts Pre-Orders'!D:D))</f>
        <v>0</v>
      </c>
      <c r="F88">
        <f t="shared" si="2"/>
        <v>0</v>
      </c>
      <c r="G88" t="e">
        <f t="shared" si="3"/>
        <v>#VALUE!</v>
      </c>
    </row>
    <row r="89" spans="1:7">
      <c r="A89" t="str">
        <f>IFERROR(INDEX(Menu!$B$2:$B$500, MATCH(88, Menu!$L$2:$L$500, 0)),"")</f>
        <v/>
      </c>
      <c r="B89" t="str">
        <f>IF(A89="","",INDEX(Menu!$A$2:$A$500, MATCH(A89, Menu!$B$2:$B$500, 0)))</f>
        <v/>
      </c>
      <c r="C89" t="str">
        <f>IF(A89="","",INDEX(Menu!$D$2:$D$500, MATCH(A89, Menu!$B$2:$B$500, 0)))</f>
        <v/>
      </c>
      <c r="D89">
        <f>IF(A89="",0,COUNTIF('Guest Pre-Orders'!C2:F32,A89))</f>
        <v>0</v>
      </c>
      <c r="E89">
        <f>IF(A89="",0,SUMIF('Counts Pre-Orders'!B:B,A89,'Counts Pre-Orders'!D:D))</f>
        <v>0</v>
      </c>
      <c r="F89">
        <f t="shared" si="2"/>
        <v>0</v>
      </c>
      <c r="G89" t="e">
        <f t="shared" si="3"/>
        <v>#VALUE!</v>
      </c>
    </row>
    <row r="90" spans="1:7">
      <c r="A90" t="str">
        <f>IFERROR(INDEX(Menu!$B$2:$B$500, MATCH(89, Menu!$L$2:$L$500, 0)),"")</f>
        <v/>
      </c>
      <c r="B90" t="str">
        <f>IF(A90="","",INDEX(Menu!$A$2:$A$500, MATCH(A90, Menu!$B$2:$B$500, 0)))</f>
        <v/>
      </c>
      <c r="C90" t="str">
        <f>IF(A90="","",INDEX(Menu!$D$2:$D$500, MATCH(A90, Menu!$B$2:$B$500, 0)))</f>
        <v/>
      </c>
      <c r="D90">
        <f>IF(A90="",0,COUNTIF('Guest Pre-Orders'!C2:F32,A90))</f>
        <v>0</v>
      </c>
      <c r="E90">
        <f>IF(A90="",0,SUMIF('Counts Pre-Orders'!B:B,A90,'Counts Pre-Orders'!D:D))</f>
        <v>0</v>
      </c>
      <c r="F90">
        <f t="shared" si="2"/>
        <v>0</v>
      </c>
      <c r="G90" t="e">
        <f t="shared" si="3"/>
        <v>#VALUE!</v>
      </c>
    </row>
    <row r="91" spans="1:7">
      <c r="A91" t="str">
        <f>IFERROR(INDEX(Menu!$B$2:$B$500, MATCH(90, Menu!$L$2:$L$500, 0)),"")</f>
        <v/>
      </c>
      <c r="B91" t="str">
        <f>IF(A91="","",INDEX(Menu!$A$2:$A$500, MATCH(A91, Menu!$B$2:$B$500, 0)))</f>
        <v/>
      </c>
      <c r="C91" t="str">
        <f>IF(A91="","",INDEX(Menu!$D$2:$D$500, MATCH(A91, Menu!$B$2:$B$500, 0)))</f>
        <v/>
      </c>
      <c r="D91">
        <f>IF(A91="",0,COUNTIF('Guest Pre-Orders'!C2:F32,A91))</f>
        <v>0</v>
      </c>
      <c r="E91">
        <f>IF(A91="",0,SUMIF('Counts Pre-Orders'!B:B,A91,'Counts Pre-Orders'!D:D))</f>
        <v>0</v>
      </c>
      <c r="F91">
        <f t="shared" si="2"/>
        <v>0</v>
      </c>
      <c r="G91" t="e">
        <f t="shared" si="3"/>
        <v>#VALUE!</v>
      </c>
    </row>
    <row r="92" spans="1:7">
      <c r="A92" t="str">
        <f>IFERROR(INDEX(Menu!$B$2:$B$500, MATCH(91, Menu!$L$2:$L$500, 0)),"")</f>
        <v/>
      </c>
      <c r="B92" t="str">
        <f>IF(A92="","",INDEX(Menu!$A$2:$A$500, MATCH(A92, Menu!$B$2:$B$500, 0)))</f>
        <v/>
      </c>
      <c r="C92" t="str">
        <f>IF(A92="","",INDEX(Menu!$D$2:$D$500, MATCH(A92, Menu!$B$2:$B$500, 0)))</f>
        <v/>
      </c>
      <c r="D92">
        <f>IF(A92="",0,COUNTIF('Guest Pre-Orders'!C2:F32,A92))</f>
        <v>0</v>
      </c>
      <c r="E92">
        <f>IF(A92="",0,SUMIF('Counts Pre-Orders'!B:B,A92,'Counts Pre-Orders'!D:D))</f>
        <v>0</v>
      </c>
      <c r="F92">
        <f t="shared" si="2"/>
        <v>0</v>
      </c>
      <c r="G92" t="e">
        <f t="shared" si="3"/>
        <v>#VALUE!</v>
      </c>
    </row>
    <row r="93" spans="1:7">
      <c r="A93" t="str">
        <f>IFERROR(INDEX(Menu!$B$2:$B$500, MATCH(92, Menu!$L$2:$L$500, 0)),"")</f>
        <v/>
      </c>
      <c r="B93" t="str">
        <f>IF(A93="","",INDEX(Menu!$A$2:$A$500, MATCH(A93, Menu!$B$2:$B$500, 0)))</f>
        <v/>
      </c>
      <c r="C93" t="str">
        <f>IF(A93="","",INDEX(Menu!$D$2:$D$500, MATCH(A93, Menu!$B$2:$B$500, 0)))</f>
        <v/>
      </c>
      <c r="D93">
        <f>IF(A93="",0,COUNTIF('Guest Pre-Orders'!C2:F32,A93))</f>
        <v>0</v>
      </c>
      <c r="E93">
        <f>IF(A93="",0,SUMIF('Counts Pre-Orders'!B:B,A93,'Counts Pre-Orders'!D:D))</f>
        <v>0</v>
      </c>
      <c r="F93">
        <f t="shared" si="2"/>
        <v>0</v>
      </c>
      <c r="G93" t="e">
        <f t="shared" si="3"/>
        <v>#VALUE!</v>
      </c>
    </row>
    <row r="94" spans="1:7">
      <c r="A94" t="str">
        <f>IFERROR(INDEX(Menu!$B$2:$B$500, MATCH(93, Menu!$L$2:$L$500, 0)),"")</f>
        <v/>
      </c>
      <c r="B94" t="str">
        <f>IF(A94="","",INDEX(Menu!$A$2:$A$500, MATCH(A94, Menu!$B$2:$B$500, 0)))</f>
        <v/>
      </c>
      <c r="C94" t="str">
        <f>IF(A94="","",INDEX(Menu!$D$2:$D$500, MATCH(A94, Menu!$B$2:$B$500, 0)))</f>
        <v/>
      </c>
      <c r="D94">
        <f>IF(A94="",0,COUNTIF('Guest Pre-Orders'!C2:F32,A94))</f>
        <v>0</v>
      </c>
      <c r="E94">
        <f>IF(A94="",0,SUMIF('Counts Pre-Orders'!B:B,A94,'Counts Pre-Orders'!D:D))</f>
        <v>0</v>
      </c>
      <c r="F94">
        <f t="shared" si="2"/>
        <v>0</v>
      </c>
      <c r="G94" t="e">
        <f t="shared" si="3"/>
        <v>#VALUE!</v>
      </c>
    </row>
    <row r="95" spans="1:7">
      <c r="A95" t="str">
        <f>IFERROR(INDEX(Menu!$B$2:$B$500, MATCH(94, Menu!$L$2:$L$500, 0)),"")</f>
        <v/>
      </c>
      <c r="B95" t="str">
        <f>IF(A95="","",INDEX(Menu!$A$2:$A$500, MATCH(A95, Menu!$B$2:$B$500, 0)))</f>
        <v/>
      </c>
      <c r="C95" t="str">
        <f>IF(A95="","",INDEX(Menu!$D$2:$D$500, MATCH(A95, Menu!$B$2:$B$500, 0)))</f>
        <v/>
      </c>
      <c r="D95">
        <f>IF(A95="",0,COUNTIF('Guest Pre-Orders'!C2:F32,A95))</f>
        <v>0</v>
      </c>
      <c r="E95">
        <f>IF(A95="",0,SUMIF('Counts Pre-Orders'!B:B,A95,'Counts Pre-Orders'!D:D))</f>
        <v>0</v>
      </c>
      <c r="F95">
        <f t="shared" si="2"/>
        <v>0</v>
      </c>
      <c r="G95" t="e">
        <f t="shared" si="3"/>
        <v>#VALUE!</v>
      </c>
    </row>
    <row r="96" spans="1:7">
      <c r="A96" t="str">
        <f>IFERROR(INDEX(Menu!$B$2:$B$500, MATCH(95, Menu!$L$2:$L$500, 0)),"")</f>
        <v/>
      </c>
      <c r="B96" t="str">
        <f>IF(A96="","",INDEX(Menu!$A$2:$A$500, MATCH(A96, Menu!$B$2:$B$500, 0)))</f>
        <v/>
      </c>
      <c r="C96" t="str">
        <f>IF(A96="","",INDEX(Menu!$D$2:$D$500, MATCH(A96, Menu!$B$2:$B$500, 0)))</f>
        <v/>
      </c>
      <c r="D96">
        <f>IF(A96="",0,COUNTIF('Guest Pre-Orders'!C2:F32,A96))</f>
        <v>0</v>
      </c>
      <c r="E96">
        <f>IF(A96="",0,SUMIF('Counts Pre-Orders'!B:B,A96,'Counts Pre-Orders'!D:D))</f>
        <v>0</v>
      </c>
      <c r="F96">
        <f t="shared" si="2"/>
        <v>0</v>
      </c>
      <c r="G96" t="e">
        <f t="shared" si="3"/>
        <v>#VALUE!</v>
      </c>
    </row>
    <row r="97" spans="1:7">
      <c r="A97" t="str">
        <f>IFERROR(INDEX(Menu!$B$2:$B$500, MATCH(96, Menu!$L$2:$L$500, 0)),"")</f>
        <v/>
      </c>
      <c r="B97" t="str">
        <f>IF(A97="","",INDEX(Menu!$A$2:$A$500, MATCH(A97, Menu!$B$2:$B$500, 0)))</f>
        <v/>
      </c>
      <c r="C97" t="str">
        <f>IF(A97="","",INDEX(Menu!$D$2:$D$500, MATCH(A97, Menu!$B$2:$B$500, 0)))</f>
        <v/>
      </c>
      <c r="D97">
        <f>IF(A97="",0,COUNTIF('Guest Pre-Orders'!C2:F32,A97))</f>
        <v>0</v>
      </c>
      <c r="E97">
        <f>IF(A97="",0,SUMIF('Counts Pre-Orders'!B:B,A97,'Counts Pre-Orders'!D:D))</f>
        <v>0</v>
      </c>
      <c r="F97">
        <f t="shared" si="2"/>
        <v>0</v>
      </c>
      <c r="G97" t="e">
        <f t="shared" si="3"/>
        <v>#VALUE!</v>
      </c>
    </row>
    <row r="98" spans="1:7">
      <c r="A98" t="str">
        <f>IFERROR(INDEX(Menu!$B$2:$B$500, MATCH(97, Menu!$L$2:$L$500, 0)),"")</f>
        <v/>
      </c>
      <c r="B98" t="str">
        <f>IF(A98="","",INDEX(Menu!$A$2:$A$500, MATCH(A98, Menu!$B$2:$B$500, 0)))</f>
        <v/>
      </c>
      <c r="C98" t="str">
        <f>IF(A98="","",INDEX(Menu!$D$2:$D$500, MATCH(A98, Menu!$B$2:$B$500, 0)))</f>
        <v/>
      </c>
      <c r="D98">
        <f>IF(A98="",0,COUNTIF('Guest Pre-Orders'!C2:F32,A98))</f>
        <v>0</v>
      </c>
      <c r="E98">
        <f>IF(A98="",0,SUMIF('Counts Pre-Orders'!B:B,A98,'Counts Pre-Orders'!D:D))</f>
        <v>0</v>
      </c>
      <c r="F98">
        <f t="shared" si="2"/>
        <v>0</v>
      </c>
      <c r="G98" t="e">
        <f t="shared" si="3"/>
        <v>#VALUE!</v>
      </c>
    </row>
    <row r="99" spans="1:7">
      <c r="A99" t="str">
        <f>IFERROR(INDEX(Menu!$B$2:$B$500, MATCH(98, Menu!$L$2:$L$500, 0)),"")</f>
        <v/>
      </c>
      <c r="B99" t="str">
        <f>IF(A99="","",INDEX(Menu!$A$2:$A$500, MATCH(A99, Menu!$B$2:$B$500, 0)))</f>
        <v/>
      </c>
      <c r="C99" t="str">
        <f>IF(A99="","",INDEX(Menu!$D$2:$D$500, MATCH(A99, Menu!$B$2:$B$500, 0)))</f>
        <v/>
      </c>
      <c r="D99">
        <f>IF(A99="",0,COUNTIF('Guest Pre-Orders'!C2:F32,A99))</f>
        <v>0</v>
      </c>
      <c r="E99">
        <f>IF(A99="",0,SUMIF('Counts Pre-Orders'!B:B,A99,'Counts Pre-Orders'!D:D))</f>
        <v>0</v>
      </c>
      <c r="F99">
        <f t="shared" si="2"/>
        <v>0</v>
      </c>
      <c r="G99" t="e">
        <f t="shared" si="3"/>
        <v>#VALUE!</v>
      </c>
    </row>
    <row r="100" spans="1:7">
      <c r="A100" t="str">
        <f>IFERROR(INDEX(Menu!$B$2:$B$500, MATCH(99, Menu!$L$2:$L$500, 0)),"")</f>
        <v/>
      </c>
      <c r="B100" t="str">
        <f>IF(A100="","",INDEX(Menu!$A$2:$A$500, MATCH(A100, Menu!$B$2:$B$500, 0)))</f>
        <v/>
      </c>
      <c r="C100" t="str">
        <f>IF(A100="","",INDEX(Menu!$D$2:$D$500, MATCH(A100, Menu!$B$2:$B$500, 0)))</f>
        <v/>
      </c>
      <c r="D100">
        <f>IF(A100="",0,COUNTIF('Guest Pre-Orders'!C2:F32,A100))</f>
        <v>0</v>
      </c>
      <c r="E100">
        <f>IF(A100="",0,SUMIF('Counts Pre-Orders'!B:B,A100,'Counts Pre-Orders'!D:D))</f>
        <v>0</v>
      </c>
      <c r="F100">
        <f t="shared" si="2"/>
        <v>0</v>
      </c>
      <c r="G100" t="e">
        <f t="shared" si="3"/>
        <v>#VALUE!</v>
      </c>
    </row>
    <row r="101" spans="1:7">
      <c r="A101" t="str">
        <f>IFERROR(INDEX(Menu!$B$2:$B$500, MATCH(100, Menu!$L$2:$L$500, 0)),"")</f>
        <v/>
      </c>
      <c r="B101" t="str">
        <f>IF(A101="","",INDEX(Menu!$A$2:$A$500, MATCH(A101, Menu!$B$2:$B$500, 0)))</f>
        <v/>
      </c>
      <c r="C101" t="str">
        <f>IF(A101="","",INDEX(Menu!$D$2:$D$500, MATCH(A101, Menu!$B$2:$B$500, 0)))</f>
        <v/>
      </c>
      <c r="D101">
        <f>IF(A101="",0,COUNTIF('Guest Pre-Orders'!C2:F32,A101))</f>
        <v>0</v>
      </c>
      <c r="E101">
        <f>IF(A101="",0,SUMIF('Counts Pre-Orders'!B:B,A101,'Counts Pre-Orders'!D:D))</f>
        <v>0</v>
      </c>
      <c r="F101">
        <f t="shared" si="2"/>
        <v>0</v>
      </c>
      <c r="G101" t="e">
        <f t="shared" si="3"/>
        <v>#VALUE!</v>
      </c>
    </row>
    <row r="102" spans="1:7">
      <c r="A102" t="str">
        <f>IFERROR(INDEX(Menu!$B$2:$B$500, MATCH(101, Menu!$L$2:$L$500, 0)),"")</f>
        <v/>
      </c>
      <c r="B102" t="str">
        <f>IF(A102="","",INDEX(Menu!$A$2:$A$500, MATCH(A102, Menu!$B$2:$B$500, 0)))</f>
        <v/>
      </c>
      <c r="C102" t="str">
        <f>IF(A102="","",INDEX(Menu!$D$2:$D$500, MATCH(A102, Menu!$B$2:$B$500, 0)))</f>
        <v/>
      </c>
      <c r="D102">
        <f>IF(A102="",0,COUNTIF('Guest Pre-Orders'!C2:F32,A102))</f>
        <v>0</v>
      </c>
      <c r="E102">
        <f>IF(A102="",0,SUMIF('Counts Pre-Orders'!B:B,A102,'Counts Pre-Orders'!D:D))</f>
        <v>0</v>
      </c>
      <c r="F102">
        <f t="shared" si="2"/>
        <v>0</v>
      </c>
      <c r="G102" t="e">
        <f t="shared" si="3"/>
        <v>#VALUE!</v>
      </c>
    </row>
    <row r="103" spans="1:7">
      <c r="A103" t="str">
        <f>IFERROR(INDEX(Menu!$B$2:$B$500, MATCH(102, Menu!$L$2:$L$500, 0)),"")</f>
        <v/>
      </c>
      <c r="B103" t="str">
        <f>IF(A103="","",INDEX(Menu!$A$2:$A$500, MATCH(A103, Menu!$B$2:$B$500, 0)))</f>
        <v/>
      </c>
      <c r="C103" t="str">
        <f>IF(A103="","",INDEX(Menu!$D$2:$D$500, MATCH(A103, Menu!$B$2:$B$500, 0)))</f>
        <v/>
      </c>
      <c r="D103">
        <f>IF(A103="",0,COUNTIF('Guest Pre-Orders'!C2:F32,A103))</f>
        <v>0</v>
      </c>
      <c r="E103">
        <f>IF(A103="",0,SUMIF('Counts Pre-Orders'!B:B,A103,'Counts Pre-Orders'!D:D))</f>
        <v>0</v>
      </c>
      <c r="F103">
        <f t="shared" si="2"/>
        <v>0</v>
      </c>
      <c r="G103" t="e">
        <f t="shared" si="3"/>
        <v>#VALUE!</v>
      </c>
    </row>
    <row r="104" spans="1:7">
      <c r="A104" t="str">
        <f>IFERROR(INDEX(Menu!$B$2:$B$500, MATCH(103, Menu!$L$2:$L$500, 0)),"")</f>
        <v/>
      </c>
      <c r="B104" t="str">
        <f>IF(A104="","",INDEX(Menu!$A$2:$A$500, MATCH(A104, Menu!$B$2:$B$500, 0)))</f>
        <v/>
      </c>
      <c r="C104" t="str">
        <f>IF(A104="","",INDEX(Menu!$D$2:$D$500, MATCH(A104, Menu!$B$2:$B$500, 0)))</f>
        <v/>
      </c>
      <c r="D104">
        <f>IF(A104="",0,COUNTIF('Guest Pre-Orders'!C2:F32,A104))</f>
        <v>0</v>
      </c>
      <c r="E104">
        <f>IF(A104="",0,SUMIF('Counts Pre-Orders'!B:B,A104,'Counts Pre-Orders'!D:D))</f>
        <v>0</v>
      </c>
      <c r="F104">
        <f t="shared" si="2"/>
        <v>0</v>
      </c>
      <c r="G104" t="e">
        <f t="shared" si="3"/>
        <v>#VALUE!</v>
      </c>
    </row>
    <row r="105" spans="1:7">
      <c r="A105" t="str">
        <f>IFERROR(INDEX(Menu!$B$2:$B$500, MATCH(104, Menu!$L$2:$L$500, 0)),"")</f>
        <v/>
      </c>
      <c r="B105" t="str">
        <f>IF(A105="","",INDEX(Menu!$A$2:$A$500, MATCH(A105, Menu!$B$2:$B$500, 0)))</f>
        <v/>
      </c>
      <c r="C105" t="str">
        <f>IF(A105="","",INDEX(Menu!$D$2:$D$500, MATCH(A105, Menu!$B$2:$B$500, 0)))</f>
        <v/>
      </c>
      <c r="D105">
        <f>IF(A105="",0,COUNTIF('Guest Pre-Orders'!C2:F32,A105))</f>
        <v>0</v>
      </c>
      <c r="E105">
        <f>IF(A105="",0,SUMIF('Counts Pre-Orders'!B:B,A105,'Counts Pre-Orders'!D:D))</f>
        <v>0</v>
      </c>
      <c r="F105">
        <f t="shared" si="2"/>
        <v>0</v>
      </c>
      <c r="G105" t="e">
        <f t="shared" si="3"/>
        <v>#VALUE!</v>
      </c>
    </row>
    <row r="106" spans="1:7">
      <c r="A106" t="str">
        <f>IFERROR(INDEX(Menu!$B$2:$B$500, MATCH(105, Menu!$L$2:$L$500, 0)),"")</f>
        <v/>
      </c>
      <c r="B106" t="str">
        <f>IF(A106="","",INDEX(Menu!$A$2:$A$500, MATCH(A106, Menu!$B$2:$B$500, 0)))</f>
        <v/>
      </c>
      <c r="C106" t="str">
        <f>IF(A106="","",INDEX(Menu!$D$2:$D$500, MATCH(A106, Menu!$B$2:$B$500, 0)))</f>
        <v/>
      </c>
      <c r="D106">
        <f>IF(A106="",0,COUNTIF('Guest Pre-Orders'!C2:F32,A106))</f>
        <v>0</v>
      </c>
      <c r="E106">
        <f>IF(A106="",0,SUMIF('Counts Pre-Orders'!B:B,A106,'Counts Pre-Orders'!D:D))</f>
        <v>0</v>
      </c>
      <c r="F106">
        <f t="shared" si="2"/>
        <v>0</v>
      </c>
      <c r="G106" t="e">
        <f t="shared" si="3"/>
        <v>#VALUE!</v>
      </c>
    </row>
    <row r="107" spans="1:7">
      <c r="A107" t="str">
        <f>IFERROR(INDEX(Menu!$B$2:$B$500, MATCH(106, Menu!$L$2:$L$500, 0)),"")</f>
        <v/>
      </c>
      <c r="B107" t="str">
        <f>IF(A107="","",INDEX(Menu!$A$2:$A$500, MATCH(A107, Menu!$B$2:$B$500, 0)))</f>
        <v/>
      </c>
      <c r="C107" t="str">
        <f>IF(A107="","",INDEX(Menu!$D$2:$D$500, MATCH(A107, Menu!$B$2:$B$500, 0)))</f>
        <v/>
      </c>
      <c r="D107">
        <f>IF(A107="",0,COUNTIF('Guest Pre-Orders'!C2:F32,A107))</f>
        <v>0</v>
      </c>
      <c r="E107">
        <f>IF(A107="",0,SUMIF('Counts Pre-Orders'!B:B,A107,'Counts Pre-Orders'!D:D))</f>
        <v>0</v>
      </c>
      <c r="F107">
        <f t="shared" si="2"/>
        <v>0</v>
      </c>
      <c r="G107" t="e">
        <f t="shared" si="3"/>
        <v>#VALUE!</v>
      </c>
    </row>
    <row r="108" spans="1:7">
      <c r="A108" t="str">
        <f>IFERROR(INDEX(Menu!$B$2:$B$500, MATCH(107, Menu!$L$2:$L$500, 0)),"")</f>
        <v/>
      </c>
      <c r="B108" t="str">
        <f>IF(A108="","",INDEX(Menu!$A$2:$A$500, MATCH(A108, Menu!$B$2:$B$500, 0)))</f>
        <v/>
      </c>
      <c r="C108" t="str">
        <f>IF(A108="","",INDEX(Menu!$D$2:$D$500, MATCH(A108, Menu!$B$2:$B$500, 0)))</f>
        <v/>
      </c>
      <c r="D108">
        <f>IF(A108="",0,COUNTIF('Guest Pre-Orders'!C2:F32,A108))</f>
        <v>0</v>
      </c>
      <c r="E108">
        <f>IF(A108="",0,SUMIF('Counts Pre-Orders'!B:B,A108,'Counts Pre-Orders'!D:D))</f>
        <v>0</v>
      </c>
      <c r="F108">
        <f t="shared" si="2"/>
        <v>0</v>
      </c>
      <c r="G108" t="e">
        <f t="shared" si="3"/>
        <v>#VALUE!</v>
      </c>
    </row>
    <row r="109" spans="1:7">
      <c r="A109" t="str">
        <f>IFERROR(INDEX(Menu!$B$2:$B$500, MATCH(108, Menu!$L$2:$L$500, 0)),"")</f>
        <v/>
      </c>
      <c r="B109" t="str">
        <f>IF(A109="","",INDEX(Menu!$A$2:$A$500, MATCH(A109, Menu!$B$2:$B$500, 0)))</f>
        <v/>
      </c>
      <c r="C109" t="str">
        <f>IF(A109="","",INDEX(Menu!$D$2:$D$500, MATCH(A109, Menu!$B$2:$B$500, 0)))</f>
        <v/>
      </c>
      <c r="D109">
        <f>IF(A109="",0,COUNTIF('Guest Pre-Orders'!C2:F32,A109))</f>
        <v>0</v>
      </c>
      <c r="E109">
        <f>IF(A109="",0,SUMIF('Counts Pre-Orders'!B:B,A109,'Counts Pre-Orders'!D:D))</f>
        <v>0</v>
      </c>
      <c r="F109">
        <f t="shared" si="2"/>
        <v>0</v>
      </c>
      <c r="G109" t="e">
        <f t="shared" si="3"/>
        <v>#VALUE!</v>
      </c>
    </row>
    <row r="110" spans="1:7">
      <c r="A110" t="str">
        <f>IFERROR(INDEX(Menu!$B$2:$B$500, MATCH(109, Menu!$L$2:$L$500, 0)),"")</f>
        <v/>
      </c>
      <c r="B110" t="str">
        <f>IF(A110="","",INDEX(Menu!$A$2:$A$500, MATCH(A110, Menu!$B$2:$B$500, 0)))</f>
        <v/>
      </c>
      <c r="C110" t="str">
        <f>IF(A110="","",INDEX(Menu!$D$2:$D$500, MATCH(A110, Menu!$B$2:$B$500, 0)))</f>
        <v/>
      </c>
      <c r="D110">
        <f>IF(A110="",0,COUNTIF('Guest Pre-Orders'!C2:F32,A110))</f>
        <v>0</v>
      </c>
      <c r="E110">
        <f>IF(A110="",0,SUMIF('Counts Pre-Orders'!B:B,A110,'Counts Pre-Orders'!D:D))</f>
        <v>0</v>
      </c>
      <c r="F110">
        <f t="shared" si="2"/>
        <v>0</v>
      </c>
      <c r="G110" t="e">
        <f t="shared" si="3"/>
        <v>#VALUE!</v>
      </c>
    </row>
    <row r="111" spans="1:7">
      <c r="A111" t="str">
        <f>IFERROR(INDEX(Menu!$B$2:$B$500, MATCH(110, Menu!$L$2:$L$500, 0)),"")</f>
        <v/>
      </c>
      <c r="B111" t="str">
        <f>IF(A111="","",INDEX(Menu!$A$2:$A$500, MATCH(A111, Menu!$B$2:$B$500, 0)))</f>
        <v/>
      </c>
      <c r="C111" t="str">
        <f>IF(A111="","",INDEX(Menu!$D$2:$D$500, MATCH(A111, Menu!$B$2:$B$500, 0)))</f>
        <v/>
      </c>
      <c r="D111">
        <f>IF(A111="",0,COUNTIF('Guest Pre-Orders'!C2:F32,A111))</f>
        <v>0</v>
      </c>
      <c r="E111">
        <f>IF(A111="",0,SUMIF('Counts Pre-Orders'!B:B,A111,'Counts Pre-Orders'!D:D))</f>
        <v>0</v>
      </c>
      <c r="F111">
        <f t="shared" si="2"/>
        <v>0</v>
      </c>
      <c r="G111" t="e">
        <f t="shared" si="3"/>
        <v>#VALUE!</v>
      </c>
    </row>
    <row r="112" spans="1:7">
      <c r="A112" t="str">
        <f>IFERROR(INDEX(Menu!$B$2:$B$500, MATCH(111, Menu!$L$2:$L$500, 0)),"")</f>
        <v/>
      </c>
      <c r="B112" t="str">
        <f>IF(A112="","",INDEX(Menu!$A$2:$A$500, MATCH(A112, Menu!$B$2:$B$500, 0)))</f>
        <v/>
      </c>
      <c r="C112" t="str">
        <f>IF(A112="","",INDEX(Menu!$D$2:$D$500, MATCH(A112, Menu!$B$2:$B$500, 0)))</f>
        <v/>
      </c>
      <c r="D112">
        <f>IF(A112="",0,COUNTIF('Guest Pre-Orders'!C2:F32,A112))</f>
        <v>0</v>
      </c>
      <c r="E112">
        <f>IF(A112="",0,SUMIF('Counts Pre-Orders'!B:B,A112,'Counts Pre-Orders'!D:D))</f>
        <v>0</v>
      </c>
      <c r="F112">
        <f t="shared" si="2"/>
        <v>0</v>
      </c>
      <c r="G112" t="e">
        <f t="shared" si="3"/>
        <v>#VALUE!</v>
      </c>
    </row>
    <row r="113" spans="1:7">
      <c r="A113" t="str">
        <f>IFERROR(INDEX(Menu!$B$2:$B$500, MATCH(112, Menu!$L$2:$L$500, 0)),"")</f>
        <v/>
      </c>
      <c r="B113" t="str">
        <f>IF(A113="","",INDEX(Menu!$A$2:$A$500, MATCH(A113, Menu!$B$2:$B$500, 0)))</f>
        <v/>
      </c>
      <c r="C113" t="str">
        <f>IF(A113="","",INDEX(Menu!$D$2:$D$500, MATCH(A113, Menu!$B$2:$B$500, 0)))</f>
        <v/>
      </c>
      <c r="D113">
        <f>IF(A113="",0,COUNTIF('Guest Pre-Orders'!C2:F32,A113))</f>
        <v>0</v>
      </c>
      <c r="E113">
        <f>IF(A113="",0,SUMIF('Counts Pre-Orders'!B:B,A113,'Counts Pre-Orders'!D:D))</f>
        <v>0</v>
      </c>
      <c r="F113">
        <f t="shared" si="2"/>
        <v>0</v>
      </c>
      <c r="G113" t="e">
        <f t="shared" si="3"/>
        <v>#VALUE!</v>
      </c>
    </row>
    <row r="114" spans="1:7">
      <c r="A114" t="str">
        <f>IFERROR(INDEX(Menu!$B$2:$B$500, MATCH(113, Menu!$L$2:$L$500, 0)),"")</f>
        <v/>
      </c>
      <c r="B114" t="str">
        <f>IF(A114="","",INDEX(Menu!$A$2:$A$500, MATCH(A114, Menu!$B$2:$B$500, 0)))</f>
        <v/>
      </c>
      <c r="C114" t="str">
        <f>IF(A114="","",INDEX(Menu!$D$2:$D$500, MATCH(A114, Menu!$B$2:$B$500, 0)))</f>
        <v/>
      </c>
      <c r="D114">
        <f>IF(A114="",0,COUNTIF('Guest Pre-Orders'!C2:F32,A114))</f>
        <v>0</v>
      </c>
      <c r="E114">
        <f>IF(A114="",0,SUMIF('Counts Pre-Orders'!B:B,A114,'Counts Pre-Orders'!D:D))</f>
        <v>0</v>
      </c>
      <c r="F114">
        <f t="shared" si="2"/>
        <v>0</v>
      </c>
      <c r="G114" t="e">
        <f t="shared" si="3"/>
        <v>#VALUE!</v>
      </c>
    </row>
    <row r="115" spans="1:7">
      <c r="A115" t="str">
        <f>IFERROR(INDEX(Menu!$B$2:$B$500, MATCH(114, Menu!$L$2:$L$500, 0)),"")</f>
        <v/>
      </c>
      <c r="B115" t="str">
        <f>IF(A115="","",INDEX(Menu!$A$2:$A$500, MATCH(A115, Menu!$B$2:$B$500, 0)))</f>
        <v/>
      </c>
      <c r="C115" t="str">
        <f>IF(A115="","",INDEX(Menu!$D$2:$D$500, MATCH(A115, Menu!$B$2:$B$500, 0)))</f>
        <v/>
      </c>
      <c r="D115">
        <f>IF(A115="",0,COUNTIF('Guest Pre-Orders'!C2:F32,A115))</f>
        <v>0</v>
      </c>
      <c r="E115">
        <f>IF(A115="",0,SUMIF('Counts Pre-Orders'!B:B,A115,'Counts Pre-Orders'!D:D))</f>
        <v>0</v>
      </c>
      <c r="F115">
        <f t="shared" si="2"/>
        <v>0</v>
      </c>
      <c r="G115" t="e">
        <f t="shared" si="3"/>
        <v>#VALUE!</v>
      </c>
    </row>
    <row r="116" spans="1:7">
      <c r="A116" t="str">
        <f>IFERROR(INDEX(Menu!$B$2:$B$500, MATCH(115, Menu!$L$2:$L$500, 0)),"")</f>
        <v/>
      </c>
      <c r="B116" t="str">
        <f>IF(A116="","",INDEX(Menu!$A$2:$A$500, MATCH(A116, Menu!$B$2:$B$500, 0)))</f>
        <v/>
      </c>
      <c r="C116" t="str">
        <f>IF(A116="","",INDEX(Menu!$D$2:$D$500, MATCH(A116, Menu!$B$2:$B$500, 0)))</f>
        <v/>
      </c>
      <c r="D116">
        <f>IF(A116="",0,COUNTIF('Guest Pre-Orders'!C2:F32,A116))</f>
        <v>0</v>
      </c>
      <c r="E116">
        <f>IF(A116="",0,SUMIF('Counts Pre-Orders'!B:B,A116,'Counts Pre-Orders'!D:D))</f>
        <v>0</v>
      </c>
      <c r="F116">
        <f t="shared" si="2"/>
        <v>0</v>
      </c>
      <c r="G116" t="e">
        <f t="shared" si="3"/>
        <v>#VALUE!</v>
      </c>
    </row>
    <row r="117" spans="1:7">
      <c r="A117" t="str">
        <f>IFERROR(INDEX(Menu!$B$2:$B$500, MATCH(116, Menu!$L$2:$L$500, 0)),"")</f>
        <v/>
      </c>
      <c r="B117" t="str">
        <f>IF(A117="","",INDEX(Menu!$A$2:$A$500, MATCH(A117, Menu!$B$2:$B$500, 0)))</f>
        <v/>
      </c>
      <c r="C117" t="str">
        <f>IF(A117="","",INDEX(Menu!$D$2:$D$500, MATCH(A117, Menu!$B$2:$B$500, 0)))</f>
        <v/>
      </c>
      <c r="D117">
        <f>IF(A117="",0,COUNTIF('Guest Pre-Orders'!C2:F32,A117))</f>
        <v>0</v>
      </c>
      <c r="E117">
        <f>IF(A117="",0,SUMIF('Counts Pre-Orders'!B:B,A117,'Counts Pre-Orders'!D:D))</f>
        <v>0</v>
      </c>
      <c r="F117">
        <f t="shared" si="2"/>
        <v>0</v>
      </c>
      <c r="G117" t="e">
        <f t="shared" si="3"/>
        <v>#VALUE!</v>
      </c>
    </row>
    <row r="118" spans="1:7">
      <c r="A118" t="str">
        <f>IFERROR(INDEX(Menu!$B$2:$B$500, MATCH(117, Menu!$L$2:$L$500, 0)),"")</f>
        <v/>
      </c>
      <c r="B118" t="str">
        <f>IF(A118="","",INDEX(Menu!$A$2:$A$500, MATCH(A118, Menu!$B$2:$B$500, 0)))</f>
        <v/>
      </c>
      <c r="C118" t="str">
        <f>IF(A118="","",INDEX(Menu!$D$2:$D$500, MATCH(A118, Menu!$B$2:$B$500, 0)))</f>
        <v/>
      </c>
      <c r="D118">
        <f>IF(A118="",0,COUNTIF('Guest Pre-Orders'!C2:F32,A118))</f>
        <v>0</v>
      </c>
      <c r="E118">
        <f>IF(A118="",0,SUMIF('Counts Pre-Orders'!B:B,A118,'Counts Pre-Orders'!D:D))</f>
        <v>0</v>
      </c>
      <c r="F118">
        <f t="shared" si="2"/>
        <v>0</v>
      </c>
      <c r="G118" t="e">
        <f t="shared" si="3"/>
        <v>#VALUE!</v>
      </c>
    </row>
    <row r="119" spans="1:7">
      <c r="A119" t="str">
        <f>IFERROR(INDEX(Menu!$B$2:$B$500, MATCH(118, Menu!$L$2:$L$500, 0)),"")</f>
        <v/>
      </c>
      <c r="B119" t="str">
        <f>IF(A119="","",INDEX(Menu!$A$2:$A$500, MATCH(A119, Menu!$B$2:$B$500, 0)))</f>
        <v/>
      </c>
      <c r="C119" t="str">
        <f>IF(A119="","",INDEX(Menu!$D$2:$D$500, MATCH(A119, Menu!$B$2:$B$500, 0)))</f>
        <v/>
      </c>
      <c r="D119">
        <f>IF(A119="",0,COUNTIF('Guest Pre-Orders'!C2:F32,A119))</f>
        <v>0</v>
      </c>
      <c r="E119">
        <f>IF(A119="",0,SUMIF('Counts Pre-Orders'!B:B,A119,'Counts Pre-Orders'!D:D))</f>
        <v>0</v>
      </c>
      <c r="F119">
        <f t="shared" si="2"/>
        <v>0</v>
      </c>
      <c r="G119" t="e">
        <f t="shared" si="3"/>
        <v>#VALUE!</v>
      </c>
    </row>
    <row r="120" spans="1:7">
      <c r="A120" t="str">
        <f>IFERROR(INDEX(Menu!$B$2:$B$500, MATCH(119, Menu!$L$2:$L$500, 0)),"")</f>
        <v/>
      </c>
      <c r="B120" t="str">
        <f>IF(A120="","",INDEX(Menu!$A$2:$A$500, MATCH(A120, Menu!$B$2:$B$500, 0)))</f>
        <v/>
      </c>
      <c r="C120" t="str">
        <f>IF(A120="","",INDEX(Menu!$D$2:$D$500, MATCH(A120, Menu!$B$2:$B$500, 0)))</f>
        <v/>
      </c>
      <c r="D120">
        <f>IF(A120="",0,COUNTIF('Guest Pre-Orders'!C2:F32,A120))</f>
        <v>0</v>
      </c>
      <c r="E120">
        <f>IF(A120="",0,SUMIF('Counts Pre-Orders'!B:B,A120,'Counts Pre-Orders'!D:D))</f>
        <v>0</v>
      </c>
      <c r="F120">
        <f t="shared" si="2"/>
        <v>0</v>
      </c>
      <c r="G120" t="e">
        <f t="shared" si="3"/>
        <v>#VALUE!</v>
      </c>
    </row>
    <row r="121" spans="1:7">
      <c r="A121" t="str">
        <f>IFERROR(INDEX(Menu!$B$2:$B$500, MATCH(120, Menu!$L$2:$L$500, 0)),"")</f>
        <v/>
      </c>
      <c r="B121" t="str">
        <f>IF(A121="","",INDEX(Menu!$A$2:$A$500, MATCH(A121, Menu!$B$2:$B$500, 0)))</f>
        <v/>
      </c>
      <c r="C121" t="str">
        <f>IF(A121="","",INDEX(Menu!$D$2:$D$500, MATCH(A121, Menu!$B$2:$B$500, 0)))</f>
        <v/>
      </c>
      <c r="D121">
        <f>IF(A121="",0,COUNTIF('Guest Pre-Orders'!C2:F32,A121))</f>
        <v>0</v>
      </c>
      <c r="E121">
        <f>IF(A121="",0,SUMIF('Counts Pre-Orders'!B:B,A121,'Counts Pre-Orders'!D:D))</f>
        <v>0</v>
      </c>
      <c r="F121">
        <f t="shared" si="2"/>
        <v>0</v>
      </c>
      <c r="G121" t="e">
        <f t="shared" si="3"/>
        <v>#VALUE!</v>
      </c>
    </row>
    <row r="122" spans="1:7">
      <c r="A122" t="str">
        <f>IFERROR(INDEX(Menu!$B$2:$B$500, MATCH(121, Menu!$L$2:$L$500, 0)),"")</f>
        <v/>
      </c>
      <c r="B122" t="str">
        <f>IF(A122="","",INDEX(Menu!$A$2:$A$500, MATCH(A122, Menu!$B$2:$B$500, 0)))</f>
        <v/>
      </c>
      <c r="C122" t="str">
        <f>IF(A122="","",INDEX(Menu!$D$2:$D$500, MATCH(A122, Menu!$B$2:$B$500, 0)))</f>
        <v/>
      </c>
      <c r="D122">
        <f>IF(A122="",0,COUNTIF('Guest Pre-Orders'!C2:F32,A122))</f>
        <v>0</v>
      </c>
      <c r="E122">
        <f>IF(A122="",0,SUMIF('Counts Pre-Orders'!B:B,A122,'Counts Pre-Orders'!D:D))</f>
        <v>0</v>
      </c>
      <c r="F122">
        <f t="shared" si="2"/>
        <v>0</v>
      </c>
      <c r="G122" t="e">
        <f t="shared" si="3"/>
        <v>#VALUE!</v>
      </c>
    </row>
    <row r="123" spans="1:7">
      <c r="A123" t="str">
        <f>IFERROR(INDEX(Menu!$B$2:$B$500, MATCH(122, Menu!$L$2:$L$500, 0)),"")</f>
        <v/>
      </c>
      <c r="B123" t="str">
        <f>IF(A123="","",INDEX(Menu!$A$2:$A$500, MATCH(A123, Menu!$B$2:$B$500, 0)))</f>
        <v/>
      </c>
      <c r="C123" t="str">
        <f>IF(A123="","",INDEX(Menu!$D$2:$D$500, MATCH(A123, Menu!$B$2:$B$500, 0)))</f>
        <v/>
      </c>
      <c r="D123">
        <f>IF(A123="",0,COUNTIF('Guest Pre-Orders'!C2:F32,A123))</f>
        <v>0</v>
      </c>
      <c r="E123">
        <f>IF(A123="",0,SUMIF('Counts Pre-Orders'!B:B,A123,'Counts Pre-Orders'!D:D))</f>
        <v>0</v>
      </c>
      <c r="F123">
        <f t="shared" si="2"/>
        <v>0</v>
      </c>
      <c r="G123" t="e">
        <f t="shared" si="3"/>
        <v>#VALUE!</v>
      </c>
    </row>
    <row r="124" spans="1:7">
      <c r="A124" t="str">
        <f>IFERROR(INDEX(Menu!$B$2:$B$500, MATCH(123, Menu!$L$2:$L$500, 0)),"")</f>
        <v/>
      </c>
      <c r="B124" t="str">
        <f>IF(A124="","",INDEX(Menu!$A$2:$A$500, MATCH(A124, Menu!$B$2:$B$500, 0)))</f>
        <v/>
      </c>
      <c r="C124" t="str">
        <f>IF(A124="","",INDEX(Menu!$D$2:$D$500, MATCH(A124, Menu!$B$2:$B$500, 0)))</f>
        <v/>
      </c>
      <c r="D124">
        <f>IF(A124="",0,COUNTIF('Guest Pre-Orders'!C2:F32,A124))</f>
        <v>0</v>
      </c>
      <c r="E124">
        <f>IF(A124="",0,SUMIF('Counts Pre-Orders'!B:B,A124,'Counts Pre-Orders'!D:D))</f>
        <v>0</v>
      </c>
      <c r="F124">
        <f t="shared" si="2"/>
        <v>0</v>
      </c>
      <c r="G124" t="e">
        <f t="shared" si="3"/>
        <v>#VALUE!</v>
      </c>
    </row>
    <row r="125" spans="1:7">
      <c r="A125" t="str">
        <f>IFERROR(INDEX(Menu!$B$2:$B$500, MATCH(124, Menu!$L$2:$L$500, 0)),"")</f>
        <v/>
      </c>
      <c r="B125" t="str">
        <f>IF(A125="","",INDEX(Menu!$A$2:$A$500, MATCH(A125, Menu!$B$2:$B$500, 0)))</f>
        <v/>
      </c>
      <c r="C125" t="str">
        <f>IF(A125="","",INDEX(Menu!$D$2:$D$500, MATCH(A125, Menu!$B$2:$B$500, 0)))</f>
        <v/>
      </c>
      <c r="D125">
        <f>IF(A125="",0,COUNTIF('Guest Pre-Orders'!C2:F32,A125))</f>
        <v>0</v>
      </c>
      <c r="E125">
        <f>IF(A125="",0,SUMIF('Counts Pre-Orders'!B:B,A125,'Counts Pre-Orders'!D:D))</f>
        <v>0</v>
      </c>
      <c r="F125">
        <f t="shared" si="2"/>
        <v>0</v>
      </c>
      <c r="G125" t="e">
        <f t="shared" si="3"/>
        <v>#VALUE!</v>
      </c>
    </row>
    <row r="126" spans="1:7">
      <c r="A126" t="str">
        <f>IFERROR(INDEX(Menu!$B$2:$B$500, MATCH(125, Menu!$L$2:$L$500, 0)),"")</f>
        <v/>
      </c>
      <c r="B126" t="str">
        <f>IF(A126="","",INDEX(Menu!$A$2:$A$500, MATCH(A126, Menu!$B$2:$B$500, 0)))</f>
        <v/>
      </c>
      <c r="C126" t="str">
        <f>IF(A126="","",INDEX(Menu!$D$2:$D$500, MATCH(A126, Menu!$B$2:$B$500, 0)))</f>
        <v/>
      </c>
      <c r="D126">
        <f>IF(A126="",0,COUNTIF('Guest Pre-Orders'!C2:F32,A126))</f>
        <v>0</v>
      </c>
      <c r="E126">
        <f>IF(A126="",0,SUMIF('Counts Pre-Orders'!B:B,A126,'Counts Pre-Orders'!D:D))</f>
        <v>0</v>
      </c>
      <c r="F126">
        <f t="shared" si="2"/>
        <v>0</v>
      </c>
      <c r="G126" t="e">
        <f t="shared" si="3"/>
        <v>#VALUE!</v>
      </c>
    </row>
    <row r="127" spans="1:7">
      <c r="A127" t="str">
        <f>IFERROR(INDEX(Menu!$B$2:$B$500, MATCH(126, Menu!$L$2:$L$500, 0)),"")</f>
        <v/>
      </c>
      <c r="B127" t="str">
        <f>IF(A127="","",INDEX(Menu!$A$2:$A$500, MATCH(A127, Menu!$B$2:$B$500, 0)))</f>
        <v/>
      </c>
      <c r="C127" t="str">
        <f>IF(A127="","",INDEX(Menu!$D$2:$D$500, MATCH(A127, Menu!$B$2:$B$500, 0)))</f>
        <v/>
      </c>
      <c r="D127">
        <f>IF(A127="",0,COUNTIF('Guest Pre-Orders'!C2:F32,A127))</f>
        <v>0</v>
      </c>
      <c r="E127">
        <f>IF(A127="",0,SUMIF('Counts Pre-Orders'!B:B,A127,'Counts Pre-Orders'!D:D))</f>
        <v>0</v>
      </c>
      <c r="F127">
        <f t="shared" si="2"/>
        <v>0</v>
      </c>
      <c r="G127" t="e">
        <f t="shared" si="3"/>
        <v>#VALUE!</v>
      </c>
    </row>
    <row r="128" spans="1:7">
      <c r="A128" t="str">
        <f>IFERROR(INDEX(Menu!$B$2:$B$500, MATCH(127, Menu!$L$2:$L$500, 0)),"")</f>
        <v/>
      </c>
      <c r="B128" t="str">
        <f>IF(A128="","",INDEX(Menu!$A$2:$A$500, MATCH(A128, Menu!$B$2:$B$500, 0)))</f>
        <v/>
      </c>
      <c r="C128" t="str">
        <f>IF(A128="","",INDEX(Menu!$D$2:$D$500, MATCH(A128, Menu!$B$2:$B$500, 0)))</f>
        <v/>
      </c>
      <c r="D128">
        <f>IF(A128="",0,COUNTIF('Guest Pre-Orders'!C2:F32,A128))</f>
        <v>0</v>
      </c>
      <c r="E128">
        <f>IF(A128="",0,SUMIF('Counts Pre-Orders'!B:B,A128,'Counts Pre-Orders'!D:D))</f>
        <v>0</v>
      </c>
      <c r="F128">
        <f t="shared" si="2"/>
        <v>0</v>
      </c>
      <c r="G128" t="e">
        <f t="shared" si="3"/>
        <v>#VALUE!</v>
      </c>
    </row>
    <row r="129" spans="1:7">
      <c r="A129" t="str">
        <f>IFERROR(INDEX(Menu!$B$2:$B$500, MATCH(128, Menu!$L$2:$L$500, 0)),"")</f>
        <v/>
      </c>
      <c r="B129" t="str">
        <f>IF(A129="","",INDEX(Menu!$A$2:$A$500, MATCH(A129, Menu!$B$2:$B$500, 0)))</f>
        <v/>
      </c>
      <c r="C129" t="str">
        <f>IF(A129="","",INDEX(Menu!$D$2:$D$500, MATCH(A129, Menu!$B$2:$B$500, 0)))</f>
        <v/>
      </c>
      <c r="D129">
        <f>IF(A129="",0,COUNTIF('Guest Pre-Orders'!C2:F32,A129))</f>
        <v>0</v>
      </c>
      <c r="E129">
        <f>IF(A129="",0,SUMIF('Counts Pre-Orders'!B:B,A129,'Counts Pre-Orders'!D:D))</f>
        <v>0</v>
      </c>
      <c r="F129">
        <f t="shared" si="2"/>
        <v>0</v>
      </c>
      <c r="G129" t="e">
        <f t="shared" si="3"/>
        <v>#VALUE!</v>
      </c>
    </row>
    <row r="130" spans="1:7">
      <c r="A130" t="str">
        <f>IFERROR(INDEX(Menu!$B$2:$B$500, MATCH(129, Menu!$L$2:$L$500, 0)),"")</f>
        <v/>
      </c>
      <c r="B130" t="str">
        <f>IF(A130="","",INDEX(Menu!$A$2:$A$500, MATCH(A130, Menu!$B$2:$B$500, 0)))</f>
        <v/>
      </c>
      <c r="C130" t="str">
        <f>IF(A130="","",INDEX(Menu!$D$2:$D$500, MATCH(A130, Menu!$B$2:$B$500, 0)))</f>
        <v/>
      </c>
      <c r="D130">
        <f>IF(A130="",0,COUNTIF('Guest Pre-Orders'!C2:F32,A130))</f>
        <v>0</v>
      </c>
      <c r="E130">
        <f>IF(A130="",0,SUMIF('Counts Pre-Orders'!B:B,A130,'Counts Pre-Orders'!D:D))</f>
        <v>0</v>
      </c>
      <c r="F130">
        <f t="shared" ref="F130:F193" si="4">D130+E130</f>
        <v>0</v>
      </c>
      <c r="G130" t="e">
        <f t="shared" ref="G130:G193" si="5">F130*C130</f>
        <v>#VALUE!</v>
      </c>
    </row>
    <row r="131" spans="1:7">
      <c r="A131" t="str">
        <f>IFERROR(INDEX(Menu!$B$2:$B$500, MATCH(130, Menu!$L$2:$L$500, 0)),"")</f>
        <v/>
      </c>
      <c r="B131" t="str">
        <f>IF(A131="","",INDEX(Menu!$A$2:$A$500, MATCH(A131, Menu!$B$2:$B$500, 0)))</f>
        <v/>
      </c>
      <c r="C131" t="str">
        <f>IF(A131="","",INDEX(Menu!$D$2:$D$500, MATCH(A131, Menu!$B$2:$B$500, 0)))</f>
        <v/>
      </c>
      <c r="D131">
        <f>IF(A131="",0,COUNTIF('Guest Pre-Orders'!C2:F32,A131))</f>
        <v>0</v>
      </c>
      <c r="E131">
        <f>IF(A131="",0,SUMIF('Counts Pre-Orders'!B:B,A131,'Counts Pre-Orders'!D:D))</f>
        <v>0</v>
      </c>
      <c r="F131">
        <f t="shared" si="4"/>
        <v>0</v>
      </c>
      <c r="G131" t="e">
        <f t="shared" si="5"/>
        <v>#VALUE!</v>
      </c>
    </row>
    <row r="132" spans="1:7">
      <c r="A132" t="str">
        <f>IFERROR(INDEX(Menu!$B$2:$B$500, MATCH(131, Menu!$L$2:$L$500, 0)),"")</f>
        <v/>
      </c>
      <c r="B132" t="str">
        <f>IF(A132="","",INDEX(Menu!$A$2:$A$500, MATCH(A132, Menu!$B$2:$B$500, 0)))</f>
        <v/>
      </c>
      <c r="C132" t="str">
        <f>IF(A132="","",INDEX(Menu!$D$2:$D$500, MATCH(A132, Menu!$B$2:$B$500, 0)))</f>
        <v/>
      </c>
      <c r="D132">
        <f>IF(A132="",0,COUNTIF('Guest Pre-Orders'!C2:F32,A132))</f>
        <v>0</v>
      </c>
      <c r="E132">
        <f>IF(A132="",0,SUMIF('Counts Pre-Orders'!B:B,A132,'Counts Pre-Orders'!D:D))</f>
        <v>0</v>
      </c>
      <c r="F132">
        <f t="shared" si="4"/>
        <v>0</v>
      </c>
      <c r="G132" t="e">
        <f t="shared" si="5"/>
        <v>#VALUE!</v>
      </c>
    </row>
    <row r="133" spans="1:7">
      <c r="A133" t="str">
        <f>IFERROR(INDEX(Menu!$B$2:$B$500, MATCH(132, Menu!$L$2:$L$500, 0)),"")</f>
        <v/>
      </c>
      <c r="B133" t="str">
        <f>IF(A133="","",INDEX(Menu!$A$2:$A$500, MATCH(A133, Menu!$B$2:$B$500, 0)))</f>
        <v/>
      </c>
      <c r="C133" t="str">
        <f>IF(A133="","",INDEX(Menu!$D$2:$D$500, MATCH(A133, Menu!$B$2:$B$500, 0)))</f>
        <v/>
      </c>
      <c r="D133">
        <f>IF(A133="",0,COUNTIF('Guest Pre-Orders'!C2:F32,A133))</f>
        <v>0</v>
      </c>
      <c r="E133">
        <f>IF(A133="",0,SUMIF('Counts Pre-Orders'!B:B,A133,'Counts Pre-Orders'!D:D))</f>
        <v>0</v>
      </c>
      <c r="F133">
        <f t="shared" si="4"/>
        <v>0</v>
      </c>
      <c r="G133" t="e">
        <f t="shared" si="5"/>
        <v>#VALUE!</v>
      </c>
    </row>
    <row r="134" spans="1:7">
      <c r="A134" t="str">
        <f>IFERROR(INDEX(Menu!$B$2:$B$500, MATCH(133, Menu!$L$2:$L$500, 0)),"")</f>
        <v/>
      </c>
      <c r="B134" t="str">
        <f>IF(A134="","",INDEX(Menu!$A$2:$A$500, MATCH(A134, Menu!$B$2:$B$500, 0)))</f>
        <v/>
      </c>
      <c r="C134" t="str">
        <f>IF(A134="","",INDEX(Menu!$D$2:$D$500, MATCH(A134, Menu!$B$2:$B$500, 0)))</f>
        <v/>
      </c>
      <c r="D134">
        <f>IF(A134="",0,COUNTIF('Guest Pre-Orders'!C2:F32,A134))</f>
        <v>0</v>
      </c>
      <c r="E134">
        <f>IF(A134="",0,SUMIF('Counts Pre-Orders'!B:B,A134,'Counts Pre-Orders'!D:D))</f>
        <v>0</v>
      </c>
      <c r="F134">
        <f t="shared" si="4"/>
        <v>0</v>
      </c>
      <c r="G134" t="e">
        <f t="shared" si="5"/>
        <v>#VALUE!</v>
      </c>
    </row>
    <row r="135" spans="1:7">
      <c r="A135" t="str">
        <f>IFERROR(INDEX(Menu!$B$2:$B$500, MATCH(134, Menu!$L$2:$L$500, 0)),"")</f>
        <v/>
      </c>
      <c r="B135" t="str">
        <f>IF(A135="","",INDEX(Menu!$A$2:$A$500, MATCH(A135, Menu!$B$2:$B$500, 0)))</f>
        <v/>
      </c>
      <c r="C135" t="str">
        <f>IF(A135="","",INDEX(Menu!$D$2:$D$500, MATCH(A135, Menu!$B$2:$B$500, 0)))</f>
        <v/>
      </c>
      <c r="D135">
        <f>IF(A135="",0,COUNTIF('Guest Pre-Orders'!C2:F32,A135))</f>
        <v>0</v>
      </c>
      <c r="E135">
        <f>IF(A135="",0,SUMIF('Counts Pre-Orders'!B:B,A135,'Counts Pre-Orders'!D:D))</f>
        <v>0</v>
      </c>
      <c r="F135">
        <f t="shared" si="4"/>
        <v>0</v>
      </c>
      <c r="G135" t="e">
        <f t="shared" si="5"/>
        <v>#VALUE!</v>
      </c>
    </row>
    <row r="136" spans="1:7">
      <c r="A136" t="str">
        <f>IFERROR(INDEX(Menu!$B$2:$B$500, MATCH(135, Menu!$L$2:$L$500, 0)),"")</f>
        <v/>
      </c>
      <c r="B136" t="str">
        <f>IF(A136="","",INDEX(Menu!$A$2:$A$500, MATCH(A136, Menu!$B$2:$B$500, 0)))</f>
        <v/>
      </c>
      <c r="C136" t="str">
        <f>IF(A136="","",INDEX(Menu!$D$2:$D$500, MATCH(A136, Menu!$B$2:$B$500, 0)))</f>
        <v/>
      </c>
      <c r="D136">
        <f>IF(A136="",0,COUNTIF('Guest Pre-Orders'!C2:F32,A136))</f>
        <v>0</v>
      </c>
      <c r="E136">
        <f>IF(A136="",0,SUMIF('Counts Pre-Orders'!B:B,A136,'Counts Pre-Orders'!D:D))</f>
        <v>0</v>
      </c>
      <c r="F136">
        <f t="shared" si="4"/>
        <v>0</v>
      </c>
      <c r="G136" t="e">
        <f t="shared" si="5"/>
        <v>#VALUE!</v>
      </c>
    </row>
    <row r="137" spans="1:7">
      <c r="A137" t="str">
        <f>IFERROR(INDEX(Menu!$B$2:$B$500, MATCH(136, Menu!$L$2:$L$500, 0)),"")</f>
        <v/>
      </c>
      <c r="B137" t="str">
        <f>IF(A137="","",INDEX(Menu!$A$2:$A$500, MATCH(A137, Menu!$B$2:$B$500, 0)))</f>
        <v/>
      </c>
      <c r="C137" t="str">
        <f>IF(A137="","",INDEX(Menu!$D$2:$D$500, MATCH(A137, Menu!$B$2:$B$500, 0)))</f>
        <v/>
      </c>
      <c r="D137">
        <f>IF(A137="",0,COUNTIF('Guest Pre-Orders'!C2:F32,A137))</f>
        <v>0</v>
      </c>
      <c r="E137">
        <f>IF(A137="",0,SUMIF('Counts Pre-Orders'!B:B,A137,'Counts Pre-Orders'!D:D))</f>
        <v>0</v>
      </c>
      <c r="F137">
        <f t="shared" si="4"/>
        <v>0</v>
      </c>
      <c r="G137" t="e">
        <f t="shared" si="5"/>
        <v>#VALUE!</v>
      </c>
    </row>
    <row r="138" spans="1:7">
      <c r="A138" t="str">
        <f>IFERROR(INDEX(Menu!$B$2:$B$500, MATCH(137, Menu!$L$2:$L$500, 0)),"")</f>
        <v/>
      </c>
      <c r="B138" t="str">
        <f>IF(A138="","",INDEX(Menu!$A$2:$A$500, MATCH(A138, Menu!$B$2:$B$500, 0)))</f>
        <v/>
      </c>
      <c r="C138" t="str">
        <f>IF(A138="","",INDEX(Menu!$D$2:$D$500, MATCH(A138, Menu!$B$2:$B$500, 0)))</f>
        <v/>
      </c>
      <c r="D138">
        <f>IF(A138="",0,COUNTIF('Guest Pre-Orders'!C2:F32,A138))</f>
        <v>0</v>
      </c>
      <c r="E138">
        <f>IF(A138="",0,SUMIF('Counts Pre-Orders'!B:B,A138,'Counts Pre-Orders'!D:D))</f>
        <v>0</v>
      </c>
      <c r="F138">
        <f t="shared" si="4"/>
        <v>0</v>
      </c>
      <c r="G138" t="e">
        <f t="shared" si="5"/>
        <v>#VALUE!</v>
      </c>
    </row>
    <row r="139" spans="1:7">
      <c r="A139" t="str">
        <f>IFERROR(INDEX(Menu!$B$2:$B$500, MATCH(138, Menu!$L$2:$L$500, 0)),"")</f>
        <v/>
      </c>
      <c r="B139" t="str">
        <f>IF(A139="","",INDEX(Menu!$A$2:$A$500, MATCH(A139, Menu!$B$2:$B$500, 0)))</f>
        <v/>
      </c>
      <c r="C139" t="str">
        <f>IF(A139="","",INDEX(Menu!$D$2:$D$500, MATCH(A139, Menu!$B$2:$B$500, 0)))</f>
        <v/>
      </c>
      <c r="D139">
        <f>IF(A139="",0,COUNTIF('Guest Pre-Orders'!C2:F32,A139))</f>
        <v>0</v>
      </c>
      <c r="E139">
        <f>IF(A139="",0,SUMIF('Counts Pre-Orders'!B:B,A139,'Counts Pre-Orders'!D:D))</f>
        <v>0</v>
      </c>
      <c r="F139">
        <f t="shared" si="4"/>
        <v>0</v>
      </c>
      <c r="G139" t="e">
        <f t="shared" si="5"/>
        <v>#VALUE!</v>
      </c>
    </row>
    <row r="140" spans="1:7">
      <c r="A140" t="str">
        <f>IFERROR(INDEX(Menu!$B$2:$B$500, MATCH(139, Menu!$L$2:$L$500, 0)),"")</f>
        <v/>
      </c>
      <c r="B140" t="str">
        <f>IF(A140="","",INDEX(Menu!$A$2:$A$500, MATCH(A140, Menu!$B$2:$B$500, 0)))</f>
        <v/>
      </c>
      <c r="C140" t="str">
        <f>IF(A140="","",INDEX(Menu!$D$2:$D$500, MATCH(A140, Menu!$B$2:$B$500, 0)))</f>
        <v/>
      </c>
      <c r="D140">
        <f>IF(A140="",0,COUNTIF('Guest Pre-Orders'!C2:F32,A140))</f>
        <v>0</v>
      </c>
      <c r="E140">
        <f>IF(A140="",0,SUMIF('Counts Pre-Orders'!B:B,A140,'Counts Pre-Orders'!D:D))</f>
        <v>0</v>
      </c>
      <c r="F140">
        <f t="shared" si="4"/>
        <v>0</v>
      </c>
      <c r="G140" t="e">
        <f t="shared" si="5"/>
        <v>#VALUE!</v>
      </c>
    </row>
    <row r="141" spans="1:7">
      <c r="A141" t="str">
        <f>IFERROR(INDEX(Menu!$B$2:$B$500, MATCH(140, Menu!$L$2:$L$500, 0)),"")</f>
        <v/>
      </c>
      <c r="B141" t="str">
        <f>IF(A141="","",INDEX(Menu!$A$2:$A$500, MATCH(A141, Menu!$B$2:$B$500, 0)))</f>
        <v/>
      </c>
      <c r="C141" t="str">
        <f>IF(A141="","",INDEX(Menu!$D$2:$D$500, MATCH(A141, Menu!$B$2:$B$500, 0)))</f>
        <v/>
      </c>
      <c r="D141">
        <f>IF(A141="",0,COUNTIF('Guest Pre-Orders'!C2:F32,A141))</f>
        <v>0</v>
      </c>
      <c r="E141">
        <f>IF(A141="",0,SUMIF('Counts Pre-Orders'!B:B,A141,'Counts Pre-Orders'!D:D))</f>
        <v>0</v>
      </c>
      <c r="F141">
        <f t="shared" si="4"/>
        <v>0</v>
      </c>
      <c r="G141" t="e">
        <f t="shared" si="5"/>
        <v>#VALUE!</v>
      </c>
    </row>
    <row r="142" spans="1:7">
      <c r="A142" t="str">
        <f>IFERROR(INDEX(Menu!$B$2:$B$500, MATCH(141, Menu!$L$2:$L$500, 0)),"")</f>
        <v/>
      </c>
      <c r="B142" t="str">
        <f>IF(A142="","",INDEX(Menu!$A$2:$A$500, MATCH(A142, Menu!$B$2:$B$500, 0)))</f>
        <v/>
      </c>
      <c r="C142" t="str">
        <f>IF(A142="","",INDEX(Menu!$D$2:$D$500, MATCH(A142, Menu!$B$2:$B$500, 0)))</f>
        <v/>
      </c>
      <c r="D142">
        <f>IF(A142="",0,COUNTIF('Guest Pre-Orders'!C2:F32,A142))</f>
        <v>0</v>
      </c>
      <c r="E142">
        <f>IF(A142="",0,SUMIF('Counts Pre-Orders'!B:B,A142,'Counts Pre-Orders'!D:D))</f>
        <v>0</v>
      </c>
      <c r="F142">
        <f t="shared" si="4"/>
        <v>0</v>
      </c>
      <c r="G142" t="e">
        <f t="shared" si="5"/>
        <v>#VALUE!</v>
      </c>
    </row>
    <row r="143" spans="1:7">
      <c r="A143" t="str">
        <f>IFERROR(INDEX(Menu!$B$2:$B$500, MATCH(142, Menu!$L$2:$L$500, 0)),"")</f>
        <v/>
      </c>
      <c r="B143" t="str">
        <f>IF(A143="","",INDEX(Menu!$A$2:$A$500, MATCH(A143, Menu!$B$2:$B$500, 0)))</f>
        <v/>
      </c>
      <c r="C143" t="str">
        <f>IF(A143="","",INDEX(Menu!$D$2:$D$500, MATCH(A143, Menu!$B$2:$B$500, 0)))</f>
        <v/>
      </c>
      <c r="D143">
        <f>IF(A143="",0,COUNTIF('Guest Pre-Orders'!C2:F32,A143))</f>
        <v>0</v>
      </c>
      <c r="E143">
        <f>IF(A143="",0,SUMIF('Counts Pre-Orders'!B:B,A143,'Counts Pre-Orders'!D:D))</f>
        <v>0</v>
      </c>
      <c r="F143">
        <f t="shared" si="4"/>
        <v>0</v>
      </c>
      <c r="G143" t="e">
        <f t="shared" si="5"/>
        <v>#VALUE!</v>
      </c>
    </row>
    <row r="144" spans="1:7">
      <c r="A144" t="str">
        <f>IFERROR(INDEX(Menu!$B$2:$B$500, MATCH(143, Menu!$L$2:$L$500, 0)),"")</f>
        <v/>
      </c>
      <c r="B144" t="str">
        <f>IF(A144="","",INDEX(Menu!$A$2:$A$500, MATCH(A144, Menu!$B$2:$B$500, 0)))</f>
        <v/>
      </c>
      <c r="C144" t="str">
        <f>IF(A144="","",INDEX(Menu!$D$2:$D$500, MATCH(A144, Menu!$B$2:$B$500, 0)))</f>
        <v/>
      </c>
      <c r="D144">
        <f>IF(A144="",0,COUNTIF('Guest Pre-Orders'!C2:F32,A144))</f>
        <v>0</v>
      </c>
      <c r="E144">
        <f>IF(A144="",0,SUMIF('Counts Pre-Orders'!B:B,A144,'Counts Pre-Orders'!D:D))</f>
        <v>0</v>
      </c>
      <c r="F144">
        <f t="shared" si="4"/>
        <v>0</v>
      </c>
      <c r="G144" t="e">
        <f t="shared" si="5"/>
        <v>#VALUE!</v>
      </c>
    </row>
    <row r="145" spans="1:7">
      <c r="A145" t="str">
        <f>IFERROR(INDEX(Menu!$B$2:$B$500, MATCH(144, Menu!$L$2:$L$500, 0)),"")</f>
        <v/>
      </c>
      <c r="B145" t="str">
        <f>IF(A145="","",INDEX(Menu!$A$2:$A$500, MATCH(A145, Menu!$B$2:$B$500, 0)))</f>
        <v/>
      </c>
      <c r="C145" t="str">
        <f>IF(A145="","",INDEX(Menu!$D$2:$D$500, MATCH(A145, Menu!$B$2:$B$500, 0)))</f>
        <v/>
      </c>
      <c r="D145">
        <f>IF(A145="",0,COUNTIF('Guest Pre-Orders'!C2:F32,A145))</f>
        <v>0</v>
      </c>
      <c r="E145">
        <f>IF(A145="",0,SUMIF('Counts Pre-Orders'!B:B,A145,'Counts Pre-Orders'!D:D))</f>
        <v>0</v>
      </c>
      <c r="F145">
        <f t="shared" si="4"/>
        <v>0</v>
      </c>
      <c r="G145" t="e">
        <f t="shared" si="5"/>
        <v>#VALUE!</v>
      </c>
    </row>
    <row r="146" spans="1:7">
      <c r="A146" t="str">
        <f>IFERROR(INDEX(Menu!$B$2:$B$500, MATCH(145, Menu!$L$2:$L$500, 0)),"")</f>
        <v/>
      </c>
      <c r="B146" t="str">
        <f>IF(A146="","",INDEX(Menu!$A$2:$A$500, MATCH(A146, Menu!$B$2:$B$500, 0)))</f>
        <v/>
      </c>
      <c r="C146" t="str">
        <f>IF(A146="","",INDEX(Menu!$D$2:$D$500, MATCH(A146, Menu!$B$2:$B$500, 0)))</f>
        <v/>
      </c>
      <c r="D146">
        <f>IF(A146="",0,COUNTIF('Guest Pre-Orders'!C2:F32,A146))</f>
        <v>0</v>
      </c>
      <c r="E146">
        <f>IF(A146="",0,SUMIF('Counts Pre-Orders'!B:B,A146,'Counts Pre-Orders'!D:D))</f>
        <v>0</v>
      </c>
      <c r="F146">
        <f t="shared" si="4"/>
        <v>0</v>
      </c>
      <c r="G146" t="e">
        <f t="shared" si="5"/>
        <v>#VALUE!</v>
      </c>
    </row>
    <row r="147" spans="1:7">
      <c r="A147" t="str">
        <f>IFERROR(INDEX(Menu!$B$2:$B$500, MATCH(146, Menu!$L$2:$L$500, 0)),"")</f>
        <v/>
      </c>
      <c r="B147" t="str">
        <f>IF(A147="","",INDEX(Menu!$A$2:$A$500, MATCH(A147, Menu!$B$2:$B$500, 0)))</f>
        <v/>
      </c>
      <c r="C147" t="str">
        <f>IF(A147="","",INDEX(Menu!$D$2:$D$500, MATCH(A147, Menu!$B$2:$B$500, 0)))</f>
        <v/>
      </c>
      <c r="D147">
        <f>IF(A147="",0,COUNTIF('Guest Pre-Orders'!C2:F32,A147))</f>
        <v>0</v>
      </c>
      <c r="E147">
        <f>IF(A147="",0,SUMIF('Counts Pre-Orders'!B:B,A147,'Counts Pre-Orders'!D:D))</f>
        <v>0</v>
      </c>
      <c r="F147">
        <f t="shared" si="4"/>
        <v>0</v>
      </c>
      <c r="G147" t="e">
        <f t="shared" si="5"/>
        <v>#VALUE!</v>
      </c>
    </row>
    <row r="148" spans="1:7">
      <c r="A148" t="str">
        <f>IFERROR(INDEX(Menu!$B$2:$B$500, MATCH(147, Menu!$L$2:$L$500, 0)),"")</f>
        <v/>
      </c>
      <c r="B148" t="str">
        <f>IF(A148="","",INDEX(Menu!$A$2:$A$500, MATCH(A148, Menu!$B$2:$B$500, 0)))</f>
        <v/>
      </c>
      <c r="C148" t="str">
        <f>IF(A148="","",INDEX(Menu!$D$2:$D$500, MATCH(A148, Menu!$B$2:$B$500, 0)))</f>
        <v/>
      </c>
      <c r="D148">
        <f>IF(A148="",0,COUNTIF('Guest Pre-Orders'!C2:F32,A148))</f>
        <v>0</v>
      </c>
      <c r="E148">
        <f>IF(A148="",0,SUMIF('Counts Pre-Orders'!B:B,A148,'Counts Pre-Orders'!D:D))</f>
        <v>0</v>
      </c>
      <c r="F148">
        <f t="shared" si="4"/>
        <v>0</v>
      </c>
      <c r="G148" t="e">
        <f t="shared" si="5"/>
        <v>#VALUE!</v>
      </c>
    </row>
    <row r="149" spans="1:7">
      <c r="A149" t="str">
        <f>IFERROR(INDEX(Menu!$B$2:$B$500, MATCH(148, Menu!$L$2:$L$500, 0)),"")</f>
        <v/>
      </c>
      <c r="B149" t="str">
        <f>IF(A149="","",INDEX(Menu!$A$2:$A$500, MATCH(A149, Menu!$B$2:$B$500, 0)))</f>
        <v/>
      </c>
      <c r="C149" t="str">
        <f>IF(A149="","",INDEX(Menu!$D$2:$D$500, MATCH(A149, Menu!$B$2:$B$500, 0)))</f>
        <v/>
      </c>
      <c r="D149">
        <f>IF(A149="",0,COUNTIF('Guest Pre-Orders'!C2:F32,A149))</f>
        <v>0</v>
      </c>
      <c r="E149">
        <f>IF(A149="",0,SUMIF('Counts Pre-Orders'!B:B,A149,'Counts Pre-Orders'!D:D))</f>
        <v>0</v>
      </c>
      <c r="F149">
        <f t="shared" si="4"/>
        <v>0</v>
      </c>
      <c r="G149" t="e">
        <f t="shared" si="5"/>
        <v>#VALUE!</v>
      </c>
    </row>
    <row r="150" spans="1:7">
      <c r="A150" t="str">
        <f>IFERROR(INDEX(Menu!$B$2:$B$500, MATCH(149, Menu!$L$2:$L$500, 0)),"")</f>
        <v/>
      </c>
      <c r="B150" t="str">
        <f>IF(A150="","",INDEX(Menu!$A$2:$A$500, MATCH(A150, Menu!$B$2:$B$500, 0)))</f>
        <v/>
      </c>
      <c r="C150" t="str">
        <f>IF(A150="","",INDEX(Menu!$D$2:$D$500, MATCH(A150, Menu!$B$2:$B$500, 0)))</f>
        <v/>
      </c>
      <c r="D150">
        <f>IF(A150="",0,COUNTIF('Guest Pre-Orders'!C2:F32,A150))</f>
        <v>0</v>
      </c>
      <c r="E150">
        <f>IF(A150="",0,SUMIF('Counts Pre-Orders'!B:B,A150,'Counts Pre-Orders'!D:D))</f>
        <v>0</v>
      </c>
      <c r="F150">
        <f t="shared" si="4"/>
        <v>0</v>
      </c>
      <c r="G150" t="e">
        <f t="shared" si="5"/>
        <v>#VALUE!</v>
      </c>
    </row>
    <row r="151" spans="1:7">
      <c r="A151" t="str">
        <f>IFERROR(INDEX(Menu!$B$2:$B$500, MATCH(150, Menu!$L$2:$L$500, 0)),"")</f>
        <v/>
      </c>
      <c r="B151" t="str">
        <f>IF(A151="","",INDEX(Menu!$A$2:$A$500, MATCH(A151, Menu!$B$2:$B$500, 0)))</f>
        <v/>
      </c>
      <c r="C151" t="str">
        <f>IF(A151="","",INDEX(Menu!$D$2:$D$500, MATCH(A151, Menu!$B$2:$B$500, 0)))</f>
        <v/>
      </c>
      <c r="D151">
        <f>IF(A151="",0,COUNTIF('Guest Pre-Orders'!C2:F32,A151))</f>
        <v>0</v>
      </c>
      <c r="E151">
        <f>IF(A151="",0,SUMIF('Counts Pre-Orders'!B:B,A151,'Counts Pre-Orders'!D:D))</f>
        <v>0</v>
      </c>
      <c r="F151">
        <f t="shared" si="4"/>
        <v>0</v>
      </c>
      <c r="G151" t="e">
        <f t="shared" si="5"/>
        <v>#VALUE!</v>
      </c>
    </row>
    <row r="152" spans="1:7">
      <c r="A152" t="str">
        <f>IFERROR(INDEX(Menu!$B$2:$B$500, MATCH(151, Menu!$L$2:$L$500, 0)),"")</f>
        <v/>
      </c>
      <c r="B152" t="str">
        <f>IF(A152="","",INDEX(Menu!$A$2:$A$500, MATCH(A152, Menu!$B$2:$B$500, 0)))</f>
        <v/>
      </c>
      <c r="C152" t="str">
        <f>IF(A152="","",INDEX(Menu!$D$2:$D$500, MATCH(A152, Menu!$B$2:$B$500, 0)))</f>
        <v/>
      </c>
      <c r="D152">
        <f>IF(A152="",0,COUNTIF('Guest Pre-Orders'!C2:F32,A152))</f>
        <v>0</v>
      </c>
      <c r="E152">
        <f>IF(A152="",0,SUMIF('Counts Pre-Orders'!B:B,A152,'Counts Pre-Orders'!D:D))</f>
        <v>0</v>
      </c>
      <c r="F152">
        <f t="shared" si="4"/>
        <v>0</v>
      </c>
      <c r="G152" t="e">
        <f t="shared" si="5"/>
        <v>#VALUE!</v>
      </c>
    </row>
    <row r="153" spans="1:7">
      <c r="A153" t="str">
        <f>IFERROR(INDEX(Menu!$B$2:$B$500, MATCH(152, Menu!$L$2:$L$500, 0)),"")</f>
        <v/>
      </c>
      <c r="B153" t="str">
        <f>IF(A153="","",INDEX(Menu!$A$2:$A$500, MATCH(A153, Menu!$B$2:$B$500, 0)))</f>
        <v/>
      </c>
      <c r="C153" t="str">
        <f>IF(A153="","",INDEX(Menu!$D$2:$D$500, MATCH(A153, Menu!$B$2:$B$500, 0)))</f>
        <v/>
      </c>
      <c r="D153">
        <f>IF(A153="",0,COUNTIF('Guest Pre-Orders'!C2:F32,A153))</f>
        <v>0</v>
      </c>
      <c r="E153">
        <f>IF(A153="",0,SUMIF('Counts Pre-Orders'!B:B,A153,'Counts Pre-Orders'!D:D))</f>
        <v>0</v>
      </c>
      <c r="F153">
        <f t="shared" si="4"/>
        <v>0</v>
      </c>
      <c r="G153" t="e">
        <f t="shared" si="5"/>
        <v>#VALUE!</v>
      </c>
    </row>
    <row r="154" spans="1:7">
      <c r="A154" t="str">
        <f>IFERROR(INDEX(Menu!$B$2:$B$500, MATCH(153, Menu!$L$2:$L$500, 0)),"")</f>
        <v/>
      </c>
      <c r="B154" t="str">
        <f>IF(A154="","",INDEX(Menu!$A$2:$A$500, MATCH(A154, Menu!$B$2:$B$500, 0)))</f>
        <v/>
      </c>
      <c r="C154" t="str">
        <f>IF(A154="","",INDEX(Menu!$D$2:$D$500, MATCH(A154, Menu!$B$2:$B$500, 0)))</f>
        <v/>
      </c>
      <c r="D154">
        <f>IF(A154="",0,COUNTIF('Guest Pre-Orders'!C2:F32,A154))</f>
        <v>0</v>
      </c>
      <c r="E154">
        <f>IF(A154="",0,SUMIF('Counts Pre-Orders'!B:B,A154,'Counts Pre-Orders'!D:D))</f>
        <v>0</v>
      </c>
      <c r="F154">
        <f t="shared" si="4"/>
        <v>0</v>
      </c>
      <c r="G154" t="e">
        <f t="shared" si="5"/>
        <v>#VALUE!</v>
      </c>
    </row>
    <row r="155" spans="1:7">
      <c r="A155" t="str">
        <f>IFERROR(INDEX(Menu!$B$2:$B$500, MATCH(154, Menu!$L$2:$L$500, 0)),"")</f>
        <v/>
      </c>
      <c r="B155" t="str">
        <f>IF(A155="","",INDEX(Menu!$A$2:$A$500, MATCH(A155, Menu!$B$2:$B$500, 0)))</f>
        <v/>
      </c>
      <c r="C155" t="str">
        <f>IF(A155="","",INDEX(Menu!$D$2:$D$500, MATCH(A155, Menu!$B$2:$B$500, 0)))</f>
        <v/>
      </c>
      <c r="D155">
        <f>IF(A155="",0,COUNTIF('Guest Pre-Orders'!C2:F32,A155))</f>
        <v>0</v>
      </c>
      <c r="E155">
        <f>IF(A155="",0,SUMIF('Counts Pre-Orders'!B:B,A155,'Counts Pre-Orders'!D:D))</f>
        <v>0</v>
      </c>
      <c r="F155">
        <f t="shared" si="4"/>
        <v>0</v>
      </c>
      <c r="G155" t="e">
        <f t="shared" si="5"/>
        <v>#VALUE!</v>
      </c>
    </row>
    <row r="156" spans="1:7">
      <c r="A156" t="str">
        <f>IFERROR(INDEX(Menu!$B$2:$B$500, MATCH(155, Menu!$L$2:$L$500, 0)),"")</f>
        <v/>
      </c>
      <c r="B156" t="str">
        <f>IF(A156="","",INDEX(Menu!$A$2:$A$500, MATCH(A156, Menu!$B$2:$B$500, 0)))</f>
        <v/>
      </c>
      <c r="C156" t="str">
        <f>IF(A156="","",INDEX(Menu!$D$2:$D$500, MATCH(A156, Menu!$B$2:$B$500, 0)))</f>
        <v/>
      </c>
      <c r="D156">
        <f>IF(A156="",0,COUNTIF('Guest Pre-Orders'!C2:F32,A156))</f>
        <v>0</v>
      </c>
      <c r="E156">
        <f>IF(A156="",0,SUMIF('Counts Pre-Orders'!B:B,A156,'Counts Pre-Orders'!D:D))</f>
        <v>0</v>
      </c>
      <c r="F156">
        <f t="shared" si="4"/>
        <v>0</v>
      </c>
      <c r="G156" t="e">
        <f t="shared" si="5"/>
        <v>#VALUE!</v>
      </c>
    </row>
    <row r="157" spans="1:7">
      <c r="A157" t="str">
        <f>IFERROR(INDEX(Menu!$B$2:$B$500, MATCH(156, Menu!$L$2:$L$500, 0)),"")</f>
        <v/>
      </c>
      <c r="B157" t="str">
        <f>IF(A157="","",INDEX(Menu!$A$2:$A$500, MATCH(A157, Menu!$B$2:$B$500, 0)))</f>
        <v/>
      </c>
      <c r="C157" t="str">
        <f>IF(A157="","",INDEX(Menu!$D$2:$D$500, MATCH(A157, Menu!$B$2:$B$500, 0)))</f>
        <v/>
      </c>
      <c r="D157">
        <f>IF(A157="",0,COUNTIF('Guest Pre-Orders'!C2:F32,A157))</f>
        <v>0</v>
      </c>
      <c r="E157">
        <f>IF(A157="",0,SUMIF('Counts Pre-Orders'!B:B,A157,'Counts Pre-Orders'!D:D))</f>
        <v>0</v>
      </c>
      <c r="F157">
        <f t="shared" si="4"/>
        <v>0</v>
      </c>
      <c r="G157" t="e">
        <f t="shared" si="5"/>
        <v>#VALUE!</v>
      </c>
    </row>
    <row r="158" spans="1:7">
      <c r="A158" t="str">
        <f>IFERROR(INDEX(Menu!$B$2:$B$500, MATCH(157, Menu!$L$2:$L$500, 0)),"")</f>
        <v/>
      </c>
      <c r="B158" t="str">
        <f>IF(A158="","",INDEX(Menu!$A$2:$A$500, MATCH(A158, Menu!$B$2:$B$500, 0)))</f>
        <v/>
      </c>
      <c r="C158" t="str">
        <f>IF(A158="","",INDEX(Menu!$D$2:$D$500, MATCH(A158, Menu!$B$2:$B$500, 0)))</f>
        <v/>
      </c>
      <c r="D158">
        <f>IF(A158="",0,COUNTIF('Guest Pre-Orders'!C2:F32,A158))</f>
        <v>0</v>
      </c>
      <c r="E158">
        <f>IF(A158="",0,SUMIF('Counts Pre-Orders'!B:B,A158,'Counts Pre-Orders'!D:D))</f>
        <v>0</v>
      </c>
      <c r="F158">
        <f t="shared" si="4"/>
        <v>0</v>
      </c>
      <c r="G158" t="e">
        <f t="shared" si="5"/>
        <v>#VALUE!</v>
      </c>
    </row>
    <row r="159" spans="1:7">
      <c r="A159" t="str">
        <f>IFERROR(INDEX(Menu!$B$2:$B$500, MATCH(158, Menu!$L$2:$L$500, 0)),"")</f>
        <v/>
      </c>
      <c r="B159" t="str">
        <f>IF(A159="","",INDEX(Menu!$A$2:$A$500, MATCH(A159, Menu!$B$2:$B$500, 0)))</f>
        <v/>
      </c>
      <c r="C159" t="str">
        <f>IF(A159="","",INDEX(Menu!$D$2:$D$500, MATCH(A159, Menu!$B$2:$B$500, 0)))</f>
        <v/>
      </c>
      <c r="D159">
        <f>IF(A159="",0,COUNTIF('Guest Pre-Orders'!C2:F32,A159))</f>
        <v>0</v>
      </c>
      <c r="E159">
        <f>IF(A159="",0,SUMIF('Counts Pre-Orders'!B:B,A159,'Counts Pre-Orders'!D:D))</f>
        <v>0</v>
      </c>
      <c r="F159">
        <f t="shared" si="4"/>
        <v>0</v>
      </c>
      <c r="G159" t="e">
        <f t="shared" si="5"/>
        <v>#VALUE!</v>
      </c>
    </row>
    <row r="160" spans="1:7">
      <c r="A160" t="str">
        <f>IFERROR(INDEX(Menu!$B$2:$B$500, MATCH(159, Menu!$L$2:$L$500, 0)),"")</f>
        <v/>
      </c>
      <c r="B160" t="str">
        <f>IF(A160="","",INDEX(Menu!$A$2:$A$500, MATCH(A160, Menu!$B$2:$B$500, 0)))</f>
        <v/>
      </c>
      <c r="C160" t="str">
        <f>IF(A160="","",INDEX(Menu!$D$2:$D$500, MATCH(A160, Menu!$B$2:$B$500, 0)))</f>
        <v/>
      </c>
      <c r="D160">
        <f>IF(A160="",0,COUNTIF('Guest Pre-Orders'!C2:F32,A160))</f>
        <v>0</v>
      </c>
      <c r="E160">
        <f>IF(A160="",0,SUMIF('Counts Pre-Orders'!B:B,A160,'Counts Pre-Orders'!D:D))</f>
        <v>0</v>
      </c>
      <c r="F160">
        <f t="shared" si="4"/>
        <v>0</v>
      </c>
      <c r="G160" t="e">
        <f t="shared" si="5"/>
        <v>#VALUE!</v>
      </c>
    </row>
    <row r="161" spans="1:7">
      <c r="A161" t="str">
        <f>IFERROR(INDEX(Menu!$B$2:$B$500, MATCH(160, Menu!$L$2:$L$500, 0)),"")</f>
        <v/>
      </c>
      <c r="B161" t="str">
        <f>IF(A161="","",INDEX(Menu!$A$2:$A$500, MATCH(A161, Menu!$B$2:$B$500, 0)))</f>
        <v/>
      </c>
      <c r="C161" t="str">
        <f>IF(A161="","",INDEX(Menu!$D$2:$D$500, MATCH(A161, Menu!$B$2:$B$500, 0)))</f>
        <v/>
      </c>
      <c r="D161">
        <f>IF(A161="",0,COUNTIF('Guest Pre-Orders'!C2:F32,A161))</f>
        <v>0</v>
      </c>
      <c r="E161">
        <f>IF(A161="",0,SUMIF('Counts Pre-Orders'!B:B,A161,'Counts Pre-Orders'!D:D))</f>
        <v>0</v>
      </c>
      <c r="F161">
        <f t="shared" si="4"/>
        <v>0</v>
      </c>
      <c r="G161" t="e">
        <f t="shared" si="5"/>
        <v>#VALUE!</v>
      </c>
    </row>
    <row r="162" spans="1:7">
      <c r="A162" t="str">
        <f>IFERROR(INDEX(Menu!$B$2:$B$500, MATCH(161, Menu!$L$2:$L$500, 0)),"")</f>
        <v/>
      </c>
      <c r="B162" t="str">
        <f>IF(A162="","",INDEX(Menu!$A$2:$A$500, MATCH(A162, Menu!$B$2:$B$500, 0)))</f>
        <v/>
      </c>
      <c r="C162" t="str">
        <f>IF(A162="","",INDEX(Menu!$D$2:$D$500, MATCH(A162, Menu!$B$2:$B$500, 0)))</f>
        <v/>
      </c>
      <c r="D162">
        <f>IF(A162="",0,COUNTIF('Guest Pre-Orders'!C2:F32,A162))</f>
        <v>0</v>
      </c>
      <c r="E162">
        <f>IF(A162="",0,SUMIF('Counts Pre-Orders'!B:B,A162,'Counts Pre-Orders'!D:D))</f>
        <v>0</v>
      </c>
      <c r="F162">
        <f t="shared" si="4"/>
        <v>0</v>
      </c>
      <c r="G162" t="e">
        <f t="shared" si="5"/>
        <v>#VALUE!</v>
      </c>
    </row>
    <row r="163" spans="1:7">
      <c r="A163" t="str">
        <f>IFERROR(INDEX(Menu!$B$2:$B$500, MATCH(162, Menu!$L$2:$L$500, 0)),"")</f>
        <v/>
      </c>
      <c r="B163" t="str">
        <f>IF(A163="","",INDEX(Menu!$A$2:$A$500, MATCH(A163, Menu!$B$2:$B$500, 0)))</f>
        <v/>
      </c>
      <c r="C163" t="str">
        <f>IF(A163="","",INDEX(Menu!$D$2:$D$500, MATCH(A163, Menu!$B$2:$B$500, 0)))</f>
        <v/>
      </c>
      <c r="D163">
        <f>IF(A163="",0,COUNTIF('Guest Pre-Orders'!C2:F32,A163))</f>
        <v>0</v>
      </c>
      <c r="E163">
        <f>IF(A163="",0,SUMIF('Counts Pre-Orders'!B:B,A163,'Counts Pre-Orders'!D:D))</f>
        <v>0</v>
      </c>
      <c r="F163">
        <f t="shared" si="4"/>
        <v>0</v>
      </c>
      <c r="G163" t="e">
        <f t="shared" si="5"/>
        <v>#VALUE!</v>
      </c>
    </row>
    <row r="164" spans="1:7">
      <c r="A164" t="str">
        <f>IFERROR(INDEX(Menu!$B$2:$B$500, MATCH(163, Menu!$L$2:$L$500, 0)),"")</f>
        <v/>
      </c>
      <c r="B164" t="str">
        <f>IF(A164="","",INDEX(Menu!$A$2:$A$500, MATCH(A164, Menu!$B$2:$B$500, 0)))</f>
        <v/>
      </c>
      <c r="C164" t="str">
        <f>IF(A164="","",INDEX(Menu!$D$2:$D$500, MATCH(A164, Menu!$B$2:$B$500, 0)))</f>
        <v/>
      </c>
      <c r="D164">
        <f>IF(A164="",0,COUNTIF('Guest Pre-Orders'!C2:F32,A164))</f>
        <v>0</v>
      </c>
      <c r="E164">
        <f>IF(A164="",0,SUMIF('Counts Pre-Orders'!B:B,A164,'Counts Pre-Orders'!D:D))</f>
        <v>0</v>
      </c>
      <c r="F164">
        <f t="shared" si="4"/>
        <v>0</v>
      </c>
      <c r="G164" t="e">
        <f t="shared" si="5"/>
        <v>#VALUE!</v>
      </c>
    </row>
    <row r="165" spans="1:7">
      <c r="A165" t="str">
        <f>IFERROR(INDEX(Menu!$B$2:$B$500, MATCH(164, Menu!$L$2:$L$500, 0)),"")</f>
        <v/>
      </c>
      <c r="B165" t="str">
        <f>IF(A165="","",INDEX(Menu!$A$2:$A$500, MATCH(A165, Menu!$B$2:$B$500, 0)))</f>
        <v/>
      </c>
      <c r="C165" t="str">
        <f>IF(A165="","",INDEX(Menu!$D$2:$D$500, MATCH(A165, Menu!$B$2:$B$500, 0)))</f>
        <v/>
      </c>
      <c r="D165">
        <f>IF(A165="",0,COUNTIF('Guest Pre-Orders'!C2:F32,A165))</f>
        <v>0</v>
      </c>
      <c r="E165">
        <f>IF(A165="",0,SUMIF('Counts Pre-Orders'!B:B,A165,'Counts Pre-Orders'!D:D))</f>
        <v>0</v>
      </c>
      <c r="F165">
        <f t="shared" si="4"/>
        <v>0</v>
      </c>
      <c r="G165" t="e">
        <f t="shared" si="5"/>
        <v>#VALUE!</v>
      </c>
    </row>
    <row r="166" spans="1:7">
      <c r="A166" t="str">
        <f>IFERROR(INDEX(Menu!$B$2:$B$500, MATCH(165, Menu!$L$2:$L$500, 0)),"")</f>
        <v/>
      </c>
      <c r="B166" t="str">
        <f>IF(A166="","",INDEX(Menu!$A$2:$A$500, MATCH(A166, Menu!$B$2:$B$500, 0)))</f>
        <v/>
      </c>
      <c r="C166" t="str">
        <f>IF(A166="","",INDEX(Menu!$D$2:$D$500, MATCH(A166, Menu!$B$2:$B$500, 0)))</f>
        <v/>
      </c>
      <c r="D166">
        <f>IF(A166="",0,COUNTIF('Guest Pre-Orders'!C2:F32,A166))</f>
        <v>0</v>
      </c>
      <c r="E166">
        <f>IF(A166="",0,SUMIF('Counts Pre-Orders'!B:B,A166,'Counts Pre-Orders'!D:D))</f>
        <v>0</v>
      </c>
      <c r="F166">
        <f t="shared" si="4"/>
        <v>0</v>
      </c>
      <c r="G166" t="e">
        <f t="shared" si="5"/>
        <v>#VALUE!</v>
      </c>
    </row>
    <row r="167" spans="1:7">
      <c r="A167" t="str">
        <f>IFERROR(INDEX(Menu!$B$2:$B$500, MATCH(166, Menu!$L$2:$L$500, 0)),"")</f>
        <v/>
      </c>
      <c r="B167" t="str">
        <f>IF(A167="","",INDEX(Menu!$A$2:$A$500, MATCH(A167, Menu!$B$2:$B$500, 0)))</f>
        <v/>
      </c>
      <c r="C167" t="str">
        <f>IF(A167="","",INDEX(Menu!$D$2:$D$500, MATCH(A167, Menu!$B$2:$B$500, 0)))</f>
        <v/>
      </c>
      <c r="D167">
        <f>IF(A167="",0,COUNTIF('Guest Pre-Orders'!C2:F32,A167))</f>
        <v>0</v>
      </c>
      <c r="E167">
        <f>IF(A167="",0,SUMIF('Counts Pre-Orders'!B:B,A167,'Counts Pre-Orders'!D:D))</f>
        <v>0</v>
      </c>
      <c r="F167">
        <f t="shared" si="4"/>
        <v>0</v>
      </c>
      <c r="G167" t="e">
        <f t="shared" si="5"/>
        <v>#VALUE!</v>
      </c>
    </row>
    <row r="168" spans="1:7">
      <c r="A168" t="str">
        <f>IFERROR(INDEX(Menu!$B$2:$B$500, MATCH(167, Menu!$L$2:$L$500, 0)),"")</f>
        <v/>
      </c>
      <c r="B168" t="str">
        <f>IF(A168="","",INDEX(Menu!$A$2:$A$500, MATCH(A168, Menu!$B$2:$B$500, 0)))</f>
        <v/>
      </c>
      <c r="C168" t="str">
        <f>IF(A168="","",INDEX(Menu!$D$2:$D$500, MATCH(A168, Menu!$B$2:$B$500, 0)))</f>
        <v/>
      </c>
      <c r="D168">
        <f>IF(A168="",0,COUNTIF('Guest Pre-Orders'!C2:F32,A168))</f>
        <v>0</v>
      </c>
      <c r="E168">
        <f>IF(A168="",0,SUMIF('Counts Pre-Orders'!B:B,A168,'Counts Pre-Orders'!D:D))</f>
        <v>0</v>
      </c>
      <c r="F168">
        <f t="shared" si="4"/>
        <v>0</v>
      </c>
      <c r="G168" t="e">
        <f t="shared" si="5"/>
        <v>#VALUE!</v>
      </c>
    </row>
    <row r="169" spans="1:7">
      <c r="A169" t="str">
        <f>IFERROR(INDEX(Menu!$B$2:$B$500, MATCH(168, Menu!$L$2:$L$500, 0)),"")</f>
        <v/>
      </c>
      <c r="B169" t="str">
        <f>IF(A169="","",INDEX(Menu!$A$2:$A$500, MATCH(A169, Menu!$B$2:$B$500, 0)))</f>
        <v/>
      </c>
      <c r="C169" t="str">
        <f>IF(A169="","",INDEX(Menu!$D$2:$D$500, MATCH(A169, Menu!$B$2:$B$500, 0)))</f>
        <v/>
      </c>
      <c r="D169">
        <f>IF(A169="",0,COUNTIF('Guest Pre-Orders'!C2:F32,A169))</f>
        <v>0</v>
      </c>
      <c r="E169">
        <f>IF(A169="",0,SUMIF('Counts Pre-Orders'!B:B,A169,'Counts Pre-Orders'!D:D))</f>
        <v>0</v>
      </c>
      <c r="F169">
        <f t="shared" si="4"/>
        <v>0</v>
      </c>
      <c r="G169" t="e">
        <f t="shared" si="5"/>
        <v>#VALUE!</v>
      </c>
    </row>
    <row r="170" spans="1:7">
      <c r="A170" t="str">
        <f>IFERROR(INDEX(Menu!$B$2:$B$500, MATCH(169, Menu!$L$2:$L$500, 0)),"")</f>
        <v/>
      </c>
      <c r="B170" t="str">
        <f>IF(A170="","",INDEX(Menu!$A$2:$A$500, MATCH(A170, Menu!$B$2:$B$500, 0)))</f>
        <v/>
      </c>
      <c r="C170" t="str">
        <f>IF(A170="","",INDEX(Menu!$D$2:$D$500, MATCH(A170, Menu!$B$2:$B$500, 0)))</f>
        <v/>
      </c>
      <c r="D170">
        <f>IF(A170="",0,COUNTIF('Guest Pre-Orders'!C2:F32,A170))</f>
        <v>0</v>
      </c>
      <c r="E170">
        <f>IF(A170="",0,SUMIF('Counts Pre-Orders'!B:B,A170,'Counts Pre-Orders'!D:D))</f>
        <v>0</v>
      </c>
      <c r="F170">
        <f t="shared" si="4"/>
        <v>0</v>
      </c>
      <c r="G170" t="e">
        <f t="shared" si="5"/>
        <v>#VALUE!</v>
      </c>
    </row>
    <row r="171" spans="1:7">
      <c r="A171" t="str">
        <f>IFERROR(INDEX(Menu!$B$2:$B$500, MATCH(170, Menu!$L$2:$L$500, 0)),"")</f>
        <v/>
      </c>
      <c r="B171" t="str">
        <f>IF(A171="","",INDEX(Menu!$A$2:$A$500, MATCH(A171, Menu!$B$2:$B$500, 0)))</f>
        <v/>
      </c>
      <c r="C171" t="str">
        <f>IF(A171="","",INDEX(Menu!$D$2:$D$500, MATCH(A171, Menu!$B$2:$B$500, 0)))</f>
        <v/>
      </c>
      <c r="D171">
        <f>IF(A171="",0,COUNTIF('Guest Pre-Orders'!C2:F32,A171))</f>
        <v>0</v>
      </c>
      <c r="E171">
        <f>IF(A171="",0,SUMIF('Counts Pre-Orders'!B:B,A171,'Counts Pre-Orders'!D:D))</f>
        <v>0</v>
      </c>
      <c r="F171">
        <f t="shared" si="4"/>
        <v>0</v>
      </c>
      <c r="G171" t="e">
        <f t="shared" si="5"/>
        <v>#VALUE!</v>
      </c>
    </row>
    <row r="172" spans="1:7">
      <c r="A172" t="str">
        <f>IFERROR(INDEX(Menu!$B$2:$B$500, MATCH(171, Menu!$L$2:$L$500, 0)),"")</f>
        <v/>
      </c>
      <c r="B172" t="str">
        <f>IF(A172="","",INDEX(Menu!$A$2:$A$500, MATCH(A172, Menu!$B$2:$B$500, 0)))</f>
        <v/>
      </c>
      <c r="C172" t="str">
        <f>IF(A172="","",INDEX(Menu!$D$2:$D$500, MATCH(A172, Menu!$B$2:$B$500, 0)))</f>
        <v/>
      </c>
      <c r="D172">
        <f>IF(A172="",0,COUNTIF('Guest Pre-Orders'!C2:F32,A172))</f>
        <v>0</v>
      </c>
      <c r="E172">
        <f>IF(A172="",0,SUMIF('Counts Pre-Orders'!B:B,A172,'Counts Pre-Orders'!D:D))</f>
        <v>0</v>
      </c>
      <c r="F172">
        <f t="shared" si="4"/>
        <v>0</v>
      </c>
      <c r="G172" t="e">
        <f t="shared" si="5"/>
        <v>#VALUE!</v>
      </c>
    </row>
    <row r="173" spans="1:7">
      <c r="A173" t="str">
        <f>IFERROR(INDEX(Menu!$B$2:$B$500, MATCH(172, Menu!$L$2:$L$500, 0)),"")</f>
        <v/>
      </c>
      <c r="B173" t="str">
        <f>IF(A173="","",INDEX(Menu!$A$2:$A$500, MATCH(A173, Menu!$B$2:$B$500, 0)))</f>
        <v/>
      </c>
      <c r="C173" t="str">
        <f>IF(A173="","",INDEX(Menu!$D$2:$D$500, MATCH(A173, Menu!$B$2:$B$500, 0)))</f>
        <v/>
      </c>
      <c r="D173">
        <f>IF(A173="",0,COUNTIF('Guest Pre-Orders'!C2:F32,A173))</f>
        <v>0</v>
      </c>
      <c r="E173">
        <f>IF(A173="",0,SUMIF('Counts Pre-Orders'!B:B,A173,'Counts Pre-Orders'!D:D))</f>
        <v>0</v>
      </c>
      <c r="F173">
        <f t="shared" si="4"/>
        <v>0</v>
      </c>
      <c r="G173" t="e">
        <f t="shared" si="5"/>
        <v>#VALUE!</v>
      </c>
    </row>
    <row r="174" spans="1:7">
      <c r="A174" t="str">
        <f>IFERROR(INDEX(Menu!$B$2:$B$500, MATCH(173, Menu!$L$2:$L$500, 0)),"")</f>
        <v/>
      </c>
      <c r="B174" t="str">
        <f>IF(A174="","",INDEX(Menu!$A$2:$A$500, MATCH(A174, Menu!$B$2:$B$500, 0)))</f>
        <v/>
      </c>
      <c r="C174" t="str">
        <f>IF(A174="","",INDEX(Menu!$D$2:$D$500, MATCH(A174, Menu!$B$2:$B$500, 0)))</f>
        <v/>
      </c>
      <c r="D174">
        <f>IF(A174="",0,COUNTIF('Guest Pre-Orders'!C2:F32,A174))</f>
        <v>0</v>
      </c>
      <c r="E174">
        <f>IF(A174="",0,SUMIF('Counts Pre-Orders'!B:B,A174,'Counts Pre-Orders'!D:D))</f>
        <v>0</v>
      </c>
      <c r="F174">
        <f t="shared" si="4"/>
        <v>0</v>
      </c>
      <c r="G174" t="e">
        <f t="shared" si="5"/>
        <v>#VALUE!</v>
      </c>
    </row>
    <row r="175" spans="1:7">
      <c r="A175" t="str">
        <f>IFERROR(INDEX(Menu!$B$2:$B$500, MATCH(174, Menu!$L$2:$L$500, 0)),"")</f>
        <v/>
      </c>
      <c r="B175" t="str">
        <f>IF(A175="","",INDEX(Menu!$A$2:$A$500, MATCH(A175, Menu!$B$2:$B$500, 0)))</f>
        <v/>
      </c>
      <c r="C175" t="str">
        <f>IF(A175="","",INDEX(Menu!$D$2:$D$500, MATCH(A175, Menu!$B$2:$B$500, 0)))</f>
        <v/>
      </c>
      <c r="D175">
        <f>IF(A175="",0,COUNTIF('Guest Pre-Orders'!C2:F32,A175))</f>
        <v>0</v>
      </c>
      <c r="E175">
        <f>IF(A175="",0,SUMIF('Counts Pre-Orders'!B:B,A175,'Counts Pre-Orders'!D:D))</f>
        <v>0</v>
      </c>
      <c r="F175">
        <f t="shared" si="4"/>
        <v>0</v>
      </c>
      <c r="G175" t="e">
        <f t="shared" si="5"/>
        <v>#VALUE!</v>
      </c>
    </row>
    <row r="176" spans="1:7">
      <c r="A176" t="str">
        <f>IFERROR(INDEX(Menu!$B$2:$B$500, MATCH(175, Menu!$L$2:$L$500, 0)),"")</f>
        <v/>
      </c>
      <c r="B176" t="str">
        <f>IF(A176="","",INDEX(Menu!$A$2:$A$500, MATCH(A176, Menu!$B$2:$B$500, 0)))</f>
        <v/>
      </c>
      <c r="C176" t="str">
        <f>IF(A176="","",INDEX(Menu!$D$2:$D$500, MATCH(A176, Menu!$B$2:$B$500, 0)))</f>
        <v/>
      </c>
      <c r="D176">
        <f>IF(A176="",0,COUNTIF('Guest Pre-Orders'!C2:F32,A176))</f>
        <v>0</v>
      </c>
      <c r="E176">
        <f>IF(A176="",0,SUMIF('Counts Pre-Orders'!B:B,A176,'Counts Pre-Orders'!D:D))</f>
        <v>0</v>
      </c>
      <c r="F176">
        <f t="shared" si="4"/>
        <v>0</v>
      </c>
      <c r="G176" t="e">
        <f t="shared" si="5"/>
        <v>#VALUE!</v>
      </c>
    </row>
    <row r="177" spans="1:7">
      <c r="A177" t="str">
        <f>IFERROR(INDEX(Menu!$B$2:$B$500, MATCH(176, Menu!$L$2:$L$500, 0)),"")</f>
        <v/>
      </c>
      <c r="B177" t="str">
        <f>IF(A177="","",INDEX(Menu!$A$2:$A$500, MATCH(A177, Menu!$B$2:$B$500, 0)))</f>
        <v/>
      </c>
      <c r="C177" t="str">
        <f>IF(A177="","",INDEX(Menu!$D$2:$D$500, MATCH(A177, Menu!$B$2:$B$500, 0)))</f>
        <v/>
      </c>
      <c r="D177">
        <f>IF(A177="",0,COUNTIF('Guest Pre-Orders'!C2:F32,A177))</f>
        <v>0</v>
      </c>
      <c r="E177">
        <f>IF(A177="",0,SUMIF('Counts Pre-Orders'!B:B,A177,'Counts Pre-Orders'!D:D))</f>
        <v>0</v>
      </c>
      <c r="F177">
        <f t="shared" si="4"/>
        <v>0</v>
      </c>
      <c r="G177" t="e">
        <f t="shared" si="5"/>
        <v>#VALUE!</v>
      </c>
    </row>
    <row r="178" spans="1:7">
      <c r="A178" t="str">
        <f>IFERROR(INDEX(Menu!$B$2:$B$500, MATCH(177, Menu!$L$2:$L$500, 0)),"")</f>
        <v/>
      </c>
      <c r="B178" t="str">
        <f>IF(A178="","",INDEX(Menu!$A$2:$A$500, MATCH(A178, Menu!$B$2:$B$500, 0)))</f>
        <v/>
      </c>
      <c r="C178" t="str">
        <f>IF(A178="","",INDEX(Menu!$D$2:$D$500, MATCH(A178, Menu!$B$2:$B$500, 0)))</f>
        <v/>
      </c>
      <c r="D178">
        <f>IF(A178="",0,COUNTIF('Guest Pre-Orders'!C2:F32,A178))</f>
        <v>0</v>
      </c>
      <c r="E178">
        <f>IF(A178="",0,SUMIF('Counts Pre-Orders'!B:B,A178,'Counts Pre-Orders'!D:D))</f>
        <v>0</v>
      </c>
      <c r="F178">
        <f t="shared" si="4"/>
        <v>0</v>
      </c>
      <c r="G178" t="e">
        <f t="shared" si="5"/>
        <v>#VALUE!</v>
      </c>
    </row>
    <row r="179" spans="1:7">
      <c r="A179" t="str">
        <f>IFERROR(INDEX(Menu!$B$2:$B$500, MATCH(178, Menu!$L$2:$L$500, 0)),"")</f>
        <v/>
      </c>
      <c r="B179" t="str">
        <f>IF(A179="","",INDEX(Menu!$A$2:$A$500, MATCH(A179, Menu!$B$2:$B$500, 0)))</f>
        <v/>
      </c>
      <c r="C179" t="str">
        <f>IF(A179="","",INDEX(Menu!$D$2:$D$500, MATCH(A179, Menu!$B$2:$B$500, 0)))</f>
        <v/>
      </c>
      <c r="D179">
        <f>IF(A179="",0,COUNTIF('Guest Pre-Orders'!C2:F32,A179))</f>
        <v>0</v>
      </c>
      <c r="E179">
        <f>IF(A179="",0,SUMIF('Counts Pre-Orders'!B:B,A179,'Counts Pre-Orders'!D:D))</f>
        <v>0</v>
      </c>
      <c r="F179">
        <f t="shared" si="4"/>
        <v>0</v>
      </c>
      <c r="G179" t="e">
        <f t="shared" si="5"/>
        <v>#VALUE!</v>
      </c>
    </row>
    <row r="180" spans="1:7">
      <c r="A180" t="str">
        <f>IFERROR(INDEX(Menu!$B$2:$B$500, MATCH(179, Menu!$L$2:$L$500, 0)),"")</f>
        <v/>
      </c>
      <c r="B180" t="str">
        <f>IF(A180="","",INDEX(Menu!$A$2:$A$500, MATCH(A180, Menu!$B$2:$B$500, 0)))</f>
        <v/>
      </c>
      <c r="C180" t="str">
        <f>IF(A180="","",INDEX(Menu!$D$2:$D$500, MATCH(A180, Menu!$B$2:$B$500, 0)))</f>
        <v/>
      </c>
      <c r="D180">
        <f>IF(A180="",0,COUNTIF('Guest Pre-Orders'!C2:F32,A180))</f>
        <v>0</v>
      </c>
      <c r="E180">
        <f>IF(A180="",0,SUMIF('Counts Pre-Orders'!B:B,A180,'Counts Pre-Orders'!D:D))</f>
        <v>0</v>
      </c>
      <c r="F180">
        <f t="shared" si="4"/>
        <v>0</v>
      </c>
      <c r="G180" t="e">
        <f t="shared" si="5"/>
        <v>#VALUE!</v>
      </c>
    </row>
    <row r="181" spans="1:7">
      <c r="A181" t="str">
        <f>IFERROR(INDEX(Menu!$B$2:$B$500, MATCH(180, Menu!$L$2:$L$500, 0)),"")</f>
        <v/>
      </c>
      <c r="B181" t="str">
        <f>IF(A181="","",INDEX(Menu!$A$2:$A$500, MATCH(A181, Menu!$B$2:$B$500, 0)))</f>
        <v/>
      </c>
      <c r="C181" t="str">
        <f>IF(A181="","",INDEX(Menu!$D$2:$D$500, MATCH(A181, Menu!$B$2:$B$500, 0)))</f>
        <v/>
      </c>
      <c r="D181">
        <f>IF(A181="",0,COUNTIF('Guest Pre-Orders'!C2:F32,A181))</f>
        <v>0</v>
      </c>
      <c r="E181">
        <f>IF(A181="",0,SUMIF('Counts Pre-Orders'!B:B,A181,'Counts Pre-Orders'!D:D))</f>
        <v>0</v>
      </c>
      <c r="F181">
        <f t="shared" si="4"/>
        <v>0</v>
      </c>
      <c r="G181" t="e">
        <f t="shared" si="5"/>
        <v>#VALUE!</v>
      </c>
    </row>
    <row r="182" spans="1:7">
      <c r="A182" t="str">
        <f>IFERROR(INDEX(Menu!$B$2:$B$500, MATCH(181, Menu!$L$2:$L$500, 0)),"")</f>
        <v/>
      </c>
      <c r="B182" t="str">
        <f>IF(A182="","",INDEX(Menu!$A$2:$A$500, MATCH(A182, Menu!$B$2:$B$500, 0)))</f>
        <v/>
      </c>
      <c r="C182" t="str">
        <f>IF(A182="","",INDEX(Menu!$D$2:$D$500, MATCH(A182, Menu!$B$2:$B$500, 0)))</f>
        <v/>
      </c>
      <c r="D182">
        <f>IF(A182="",0,COUNTIF('Guest Pre-Orders'!C2:F32,A182))</f>
        <v>0</v>
      </c>
      <c r="E182">
        <f>IF(A182="",0,SUMIF('Counts Pre-Orders'!B:B,A182,'Counts Pre-Orders'!D:D))</f>
        <v>0</v>
      </c>
      <c r="F182">
        <f t="shared" si="4"/>
        <v>0</v>
      </c>
      <c r="G182" t="e">
        <f t="shared" si="5"/>
        <v>#VALUE!</v>
      </c>
    </row>
    <row r="183" spans="1:7">
      <c r="A183" t="str">
        <f>IFERROR(INDEX(Menu!$B$2:$B$500, MATCH(182, Menu!$L$2:$L$500, 0)),"")</f>
        <v/>
      </c>
      <c r="B183" t="str">
        <f>IF(A183="","",INDEX(Menu!$A$2:$A$500, MATCH(A183, Menu!$B$2:$B$500, 0)))</f>
        <v/>
      </c>
      <c r="C183" t="str">
        <f>IF(A183="","",INDEX(Menu!$D$2:$D$500, MATCH(A183, Menu!$B$2:$B$500, 0)))</f>
        <v/>
      </c>
      <c r="D183">
        <f>IF(A183="",0,COUNTIF('Guest Pre-Orders'!C2:F32,A183))</f>
        <v>0</v>
      </c>
      <c r="E183">
        <f>IF(A183="",0,SUMIF('Counts Pre-Orders'!B:B,A183,'Counts Pre-Orders'!D:D))</f>
        <v>0</v>
      </c>
      <c r="F183">
        <f t="shared" si="4"/>
        <v>0</v>
      </c>
      <c r="G183" t="e">
        <f t="shared" si="5"/>
        <v>#VALUE!</v>
      </c>
    </row>
    <row r="184" spans="1:7">
      <c r="A184" t="str">
        <f>IFERROR(INDEX(Menu!$B$2:$B$500, MATCH(183, Menu!$L$2:$L$500, 0)),"")</f>
        <v/>
      </c>
      <c r="B184" t="str">
        <f>IF(A184="","",INDEX(Menu!$A$2:$A$500, MATCH(A184, Menu!$B$2:$B$500, 0)))</f>
        <v/>
      </c>
      <c r="C184" t="str">
        <f>IF(A184="","",INDEX(Menu!$D$2:$D$500, MATCH(A184, Menu!$B$2:$B$500, 0)))</f>
        <v/>
      </c>
      <c r="D184">
        <f>IF(A184="",0,COUNTIF('Guest Pre-Orders'!C2:F32,A184))</f>
        <v>0</v>
      </c>
      <c r="E184">
        <f>IF(A184="",0,SUMIF('Counts Pre-Orders'!B:B,A184,'Counts Pre-Orders'!D:D))</f>
        <v>0</v>
      </c>
      <c r="F184">
        <f t="shared" si="4"/>
        <v>0</v>
      </c>
      <c r="G184" t="e">
        <f t="shared" si="5"/>
        <v>#VALUE!</v>
      </c>
    </row>
    <row r="185" spans="1:7">
      <c r="A185" t="str">
        <f>IFERROR(INDEX(Menu!$B$2:$B$500, MATCH(184, Menu!$L$2:$L$500, 0)),"")</f>
        <v/>
      </c>
      <c r="B185" t="str">
        <f>IF(A185="","",INDEX(Menu!$A$2:$A$500, MATCH(A185, Menu!$B$2:$B$500, 0)))</f>
        <v/>
      </c>
      <c r="C185" t="str">
        <f>IF(A185="","",INDEX(Menu!$D$2:$D$500, MATCH(A185, Menu!$B$2:$B$500, 0)))</f>
        <v/>
      </c>
      <c r="D185">
        <f>IF(A185="",0,COUNTIF('Guest Pre-Orders'!C2:F32,A185))</f>
        <v>0</v>
      </c>
      <c r="E185">
        <f>IF(A185="",0,SUMIF('Counts Pre-Orders'!B:B,A185,'Counts Pre-Orders'!D:D))</f>
        <v>0</v>
      </c>
      <c r="F185">
        <f t="shared" si="4"/>
        <v>0</v>
      </c>
      <c r="G185" t="e">
        <f t="shared" si="5"/>
        <v>#VALUE!</v>
      </c>
    </row>
    <row r="186" spans="1:7">
      <c r="A186" t="str">
        <f>IFERROR(INDEX(Menu!$B$2:$B$500, MATCH(185, Menu!$L$2:$L$500, 0)),"")</f>
        <v/>
      </c>
      <c r="B186" t="str">
        <f>IF(A186="","",INDEX(Menu!$A$2:$A$500, MATCH(A186, Menu!$B$2:$B$500, 0)))</f>
        <v/>
      </c>
      <c r="C186" t="str">
        <f>IF(A186="","",INDEX(Menu!$D$2:$D$500, MATCH(A186, Menu!$B$2:$B$500, 0)))</f>
        <v/>
      </c>
      <c r="D186">
        <f>IF(A186="",0,COUNTIF('Guest Pre-Orders'!C2:F32,A186))</f>
        <v>0</v>
      </c>
      <c r="E186">
        <f>IF(A186="",0,SUMIF('Counts Pre-Orders'!B:B,A186,'Counts Pre-Orders'!D:D))</f>
        <v>0</v>
      </c>
      <c r="F186">
        <f t="shared" si="4"/>
        <v>0</v>
      </c>
      <c r="G186" t="e">
        <f t="shared" si="5"/>
        <v>#VALUE!</v>
      </c>
    </row>
    <row r="187" spans="1:7">
      <c r="A187" t="str">
        <f>IFERROR(INDEX(Menu!$B$2:$B$500, MATCH(186, Menu!$L$2:$L$500, 0)),"")</f>
        <v/>
      </c>
      <c r="B187" t="str">
        <f>IF(A187="","",INDEX(Menu!$A$2:$A$500, MATCH(A187, Menu!$B$2:$B$500, 0)))</f>
        <v/>
      </c>
      <c r="C187" t="str">
        <f>IF(A187="","",INDEX(Menu!$D$2:$D$500, MATCH(A187, Menu!$B$2:$B$500, 0)))</f>
        <v/>
      </c>
      <c r="D187">
        <f>IF(A187="",0,COUNTIF('Guest Pre-Orders'!C2:F32,A187))</f>
        <v>0</v>
      </c>
      <c r="E187">
        <f>IF(A187="",0,SUMIF('Counts Pre-Orders'!B:B,A187,'Counts Pre-Orders'!D:D))</f>
        <v>0</v>
      </c>
      <c r="F187">
        <f t="shared" si="4"/>
        <v>0</v>
      </c>
      <c r="G187" t="e">
        <f t="shared" si="5"/>
        <v>#VALUE!</v>
      </c>
    </row>
    <row r="188" spans="1:7">
      <c r="A188" t="str">
        <f>IFERROR(INDEX(Menu!$B$2:$B$500, MATCH(187, Menu!$L$2:$L$500, 0)),"")</f>
        <v/>
      </c>
      <c r="B188" t="str">
        <f>IF(A188="","",INDEX(Menu!$A$2:$A$500, MATCH(A188, Menu!$B$2:$B$500, 0)))</f>
        <v/>
      </c>
      <c r="C188" t="str">
        <f>IF(A188="","",INDEX(Menu!$D$2:$D$500, MATCH(A188, Menu!$B$2:$B$500, 0)))</f>
        <v/>
      </c>
      <c r="D188">
        <f>IF(A188="",0,COUNTIF('Guest Pre-Orders'!C2:F32,A188))</f>
        <v>0</v>
      </c>
      <c r="E188">
        <f>IF(A188="",0,SUMIF('Counts Pre-Orders'!B:B,A188,'Counts Pre-Orders'!D:D))</f>
        <v>0</v>
      </c>
      <c r="F188">
        <f t="shared" si="4"/>
        <v>0</v>
      </c>
      <c r="G188" t="e">
        <f t="shared" si="5"/>
        <v>#VALUE!</v>
      </c>
    </row>
    <row r="189" spans="1:7">
      <c r="A189" t="str">
        <f>IFERROR(INDEX(Menu!$B$2:$B$500, MATCH(188, Menu!$L$2:$L$500, 0)),"")</f>
        <v/>
      </c>
      <c r="B189" t="str">
        <f>IF(A189="","",INDEX(Menu!$A$2:$A$500, MATCH(A189, Menu!$B$2:$B$500, 0)))</f>
        <v/>
      </c>
      <c r="C189" t="str">
        <f>IF(A189="","",INDEX(Menu!$D$2:$D$500, MATCH(A189, Menu!$B$2:$B$500, 0)))</f>
        <v/>
      </c>
      <c r="D189">
        <f>IF(A189="",0,COUNTIF('Guest Pre-Orders'!C2:F32,A189))</f>
        <v>0</v>
      </c>
      <c r="E189">
        <f>IF(A189="",0,SUMIF('Counts Pre-Orders'!B:B,A189,'Counts Pre-Orders'!D:D))</f>
        <v>0</v>
      </c>
      <c r="F189">
        <f t="shared" si="4"/>
        <v>0</v>
      </c>
      <c r="G189" t="e">
        <f t="shared" si="5"/>
        <v>#VALUE!</v>
      </c>
    </row>
    <row r="190" spans="1:7">
      <c r="A190" t="str">
        <f>IFERROR(INDEX(Menu!$B$2:$B$500, MATCH(189, Menu!$L$2:$L$500, 0)),"")</f>
        <v/>
      </c>
      <c r="B190" t="str">
        <f>IF(A190="","",INDEX(Menu!$A$2:$A$500, MATCH(A190, Menu!$B$2:$B$500, 0)))</f>
        <v/>
      </c>
      <c r="C190" t="str">
        <f>IF(A190="","",INDEX(Menu!$D$2:$D$500, MATCH(A190, Menu!$B$2:$B$500, 0)))</f>
        <v/>
      </c>
      <c r="D190">
        <f>IF(A190="",0,COUNTIF('Guest Pre-Orders'!C2:F32,A190))</f>
        <v>0</v>
      </c>
      <c r="E190">
        <f>IF(A190="",0,SUMIF('Counts Pre-Orders'!B:B,A190,'Counts Pre-Orders'!D:D))</f>
        <v>0</v>
      </c>
      <c r="F190">
        <f t="shared" si="4"/>
        <v>0</v>
      </c>
      <c r="G190" t="e">
        <f t="shared" si="5"/>
        <v>#VALUE!</v>
      </c>
    </row>
    <row r="191" spans="1:7">
      <c r="A191" t="str">
        <f>IFERROR(INDEX(Menu!$B$2:$B$500, MATCH(190, Menu!$L$2:$L$500, 0)),"")</f>
        <v/>
      </c>
      <c r="B191" t="str">
        <f>IF(A191="","",INDEX(Menu!$A$2:$A$500, MATCH(A191, Menu!$B$2:$B$500, 0)))</f>
        <v/>
      </c>
      <c r="C191" t="str">
        <f>IF(A191="","",INDEX(Menu!$D$2:$D$500, MATCH(A191, Menu!$B$2:$B$500, 0)))</f>
        <v/>
      </c>
      <c r="D191">
        <f>IF(A191="",0,COUNTIF('Guest Pre-Orders'!C2:F32,A191))</f>
        <v>0</v>
      </c>
      <c r="E191">
        <f>IF(A191="",0,SUMIF('Counts Pre-Orders'!B:B,A191,'Counts Pre-Orders'!D:D))</f>
        <v>0</v>
      </c>
      <c r="F191">
        <f t="shared" si="4"/>
        <v>0</v>
      </c>
      <c r="G191" t="e">
        <f t="shared" si="5"/>
        <v>#VALUE!</v>
      </c>
    </row>
    <row r="192" spans="1:7">
      <c r="A192" t="str">
        <f>IFERROR(INDEX(Menu!$B$2:$B$500, MATCH(191, Menu!$L$2:$L$500, 0)),"")</f>
        <v/>
      </c>
      <c r="B192" t="str">
        <f>IF(A192="","",INDEX(Menu!$A$2:$A$500, MATCH(A192, Menu!$B$2:$B$500, 0)))</f>
        <v/>
      </c>
      <c r="C192" t="str">
        <f>IF(A192="","",INDEX(Menu!$D$2:$D$500, MATCH(A192, Menu!$B$2:$B$500, 0)))</f>
        <v/>
      </c>
      <c r="D192">
        <f>IF(A192="",0,COUNTIF('Guest Pre-Orders'!C2:F32,A192))</f>
        <v>0</v>
      </c>
      <c r="E192">
        <f>IF(A192="",0,SUMIF('Counts Pre-Orders'!B:B,A192,'Counts Pre-Orders'!D:D))</f>
        <v>0</v>
      </c>
      <c r="F192">
        <f t="shared" si="4"/>
        <v>0</v>
      </c>
      <c r="G192" t="e">
        <f t="shared" si="5"/>
        <v>#VALUE!</v>
      </c>
    </row>
    <row r="193" spans="1:7">
      <c r="A193" t="str">
        <f>IFERROR(INDEX(Menu!$B$2:$B$500, MATCH(192, Menu!$L$2:$L$500, 0)),"")</f>
        <v/>
      </c>
      <c r="B193" t="str">
        <f>IF(A193="","",INDEX(Menu!$A$2:$A$500, MATCH(A193, Menu!$B$2:$B$500, 0)))</f>
        <v/>
      </c>
      <c r="C193" t="str">
        <f>IF(A193="","",INDEX(Menu!$D$2:$D$500, MATCH(A193, Menu!$B$2:$B$500, 0)))</f>
        <v/>
      </c>
      <c r="D193">
        <f>IF(A193="",0,COUNTIF('Guest Pre-Orders'!C2:F32,A193))</f>
        <v>0</v>
      </c>
      <c r="E193">
        <f>IF(A193="",0,SUMIF('Counts Pre-Orders'!B:B,A193,'Counts Pre-Orders'!D:D))</f>
        <v>0</v>
      </c>
      <c r="F193">
        <f t="shared" si="4"/>
        <v>0</v>
      </c>
      <c r="G193" t="e">
        <f t="shared" si="5"/>
        <v>#VALUE!</v>
      </c>
    </row>
    <row r="194" spans="1:7">
      <c r="A194" t="str">
        <f>IFERROR(INDEX(Menu!$B$2:$B$500, MATCH(193, Menu!$L$2:$L$500, 0)),"")</f>
        <v/>
      </c>
      <c r="B194" t="str">
        <f>IF(A194="","",INDEX(Menu!$A$2:$A$500, MATCH(A194, Menu!$B$2:$B$500, 0)))</f>
        <v/>
      </c>
      <c r="C194" t="str">
        <f>IF(A194="","",INDEX(Menu!$D$2:$D$500, MATCH(A194, Menu!$B$2:$B$500, 0)))</f>
        <v/>
      </c>
      <c r="D194">
        <f>IF(A194="",0,COUNTIF('Guest Pre-Orders'!C2:F32,A194))</f>
        <v>0</v>
      </c>
      <c r="E194">
        <f>IF(A194="",0,SUMIF('Counts Pre-Orders'!B:B,A194,'Counts Pre-Orders'!D:D))</f>
        <v>0</v>
      </c>
      <c r="F194">
        <f t="shared" ref="F194:F257" si="6">D194+E194</f>
        <v>0</v>
      </c>
      <c r="G194" t="e">
        <f t="shared" ref="G194:G257" si="7">F194*C194</f>
        <v>#VALUE!</v>
      </c>
    </row>
    <row r="195" spans="1:7">
      <c r="A195" t="str">
        <f>IFERROR(INDEX(Menu!$B$2:$B$500, MATCH(194, Menu!$L$2:$L$500, 0)),"")</f>
        <v/>
      </c>
      <c r="B195" t="str">
        <f>IF(A195="","",INDEX(Menu!$A$2:$A$500, MATCH(A195, Menu!$B$2:$B$500, 0)))</f>
        <v/>
      </c>
      <c r="C195" t="str">
        <f>IF(A195="","",INDEX(Menu!$D$2:$D$500, MATCH(A195, Menu!$B$2:$B$500, 0)))</f>
        <v/>
      </c>
      <c r="D195">
        <f>IF(A195="",0,COUNTIF('Guest Pre-Orders'!C2:F32,A195))</f>
        <v>0</v>
      </c>
      <c r="E195">
        <f>IF(A195="",0,SUMIF('Counts Pre-Orders'!B:B,A195,'Counts Pre-Orders'!D:D))</f>
        <v>0</v>
      </c>
      <c r="F195">
        <f t="shared" si="6"/>
        <v>0</v>
      </c>
      <c r="G195" t="e">
        <f t="shared" si="7"/>
        <v>#VALUE!</v>
      </c>
    </row>
    <row r="196" spans="1:7">
      <c r="A196" t="str">
        <f>IFERROR(INDEX(Menu!$B$2:$B$500, MATCH(195, Menu!$L$2:$L$500, 0)),"")</f>
        <v/>
      </c>
      <c r="B196" t="str">
        <f>IF(A196="","",INDEX(Menu!$A$2:$A$500, MATCH(A196, Menu!$B$2:$B$500, 0)))</f>
        <v/>
      </c>
      <c r="C196" t="str">
        <f>IF(A196="","",INDEX(Menu!$D$2:$D$500, MATCH(A196, Menu!$B$2:$B$500, 0)))</f>
        <v/>
      </c>
      <c r="D196">
        <f>IF(A196="",0,COUNTIF('Guest Pre-Orders'!C2:F32,A196))</f>
        <v>0</v>
      </c>
      <c r="E196">
        <f>IF(A196="",0,SUMIF('Counts Pre-Orders'!B:B,A196,'Counts Pre-Orders'!D:D))</f>
        <v>0</v>
      </c>
      <c r="F196">
        <f t="shared" si="6"/>
        <v>0</v>
      </c>
      <c r="G196" t="e">
        <f t="shared" si="7"/>
        <v>#VALUE!</v>
      </c>
    </row>
    <row r="197" spans="1:7">
      <c r="A197" t="str">
        <f>IFERROR(INDEX(Menu!$B$2:$B$500, MATCH(196, Menu!$L$2:$L$500, 0)),"")</f>
        <v/>
      </c>
      <c r="B197" t="str">
        <f>IF(A197="","",INDEX(Menu!$A$2:$A$500, MATCH(A197, Menu!$B$2:$B$500, 0)))</f>
        <v/>
      </c>
      <c r="C197" t="str">
        <f>IF(A197="","",INDEX(Menu!$D$2:$D$500, MATCH(A197, Menu!$B$2:$B$500, 0)))</f>
        <v/>
      </c>
      <c r="D197">
        <f>IF(A197="",0,COUNTIF('Guest Pre-Orders'!C2:F32,A197))</f>
        <v>0</v>
      </c>
      <c r="E197">
        <f>IF(A197="",0,SUMIF('Counts Pre-Orders'!B:B,A197,'Counts Pre-Orders'!D:D))</f>
        <v>0</v>
      </c>
      <c r="F197">
        <f t="shared" si="6"/>
        <v>0</v>
      </c>
      <c r="G197" t="e">
        <f t="shared" si="7"/>
        <v>#VALUE!</v>
      </c>
    </row>
    <row r="198" spans="1:7">
      <c r="A198" t="str">
        <f>IFERROR(INDEX(Menu!$B$2:$B$500, MATCH(197, Menu!$L$2:$L$500, 0)),"")</f>
        <v/>
      </c>
      <c r="B198" t="str">
        <f>IF(A198="","",INDEX(Menu!$A$2:$A$500, MATCH(A198, Menu!$B$2:$B$500, 0)))</f>
        <v/>
      </c>
      <c r="C198" t="str">
        <f>IF(A198="","",INDEX(Menu!$D$2:$D$500, MATCH(A198, Menu!$B$2:$B$500, 0)))</f>
        <v/>
      </c>
      <c r="D198">
        <f>IF(A198="",0,COUNTIF('Guest Pre-Orders'!C2:F32,A198))</f>
        <v>0</v>
      </c>
      <c r="E198">
        <f>IF(A198="",0,SUMIF('Counts Pre-Orders'!B:B,A198,'Counts Pre-Orders'!D:D))</f>
        <v>0</v>
      </c>
      <c r="F198">
        <f t="shared" si="6"/>
        <v>0</v>
      </c>
      <c r="G198" t="e">
        <f t="shared" si="7"/>
        <v>#VALUE!</v>
      </c>
    </row>
    <row r="199" spans="1:7">
      <c r="A199" t="str">
        <f>IFERROR(INDEX(Menu!$B$2:$B$500, MATCH(198, Menu!$L$2:$L$500, 0)),"")</f>
        <v/>
      </c>
      <c r="B199" t="str">
        <f>IF(A199="","",INDEX(Menu!$A$2:$A$500, MATCH(A199, Menu!$B$2:$B$500, 0)))</f>
        <v/>
      </c>
      <c r="C199" t="str">
        <f>IF(A199="","",INDEX(Menu!$D$2:$D$500, MATCH(A199, Menu!$B$2:$B$500, 0)))</f>
        <v/>
      </c>
      <c r="D199">
        <f>IF(A199="",0,COUNTIF('Guest Pre-Orders'!C2:F32,A199))</f>
        <v>0</v>
      </c>
      <c r="E199">
        <f>IF(A199="",0,SUMIF('Counts Pre-Orders'!B:B,A199,'Counts Pre-Orders'!D:D))</f>
        <v>0</v>
      </c>
      <c r="F199">
        <f t="shared" si="6"/>
        <v>0</v>
      </c>
      <c r="G199" t="e">
        <f t="shared" si="7"/>
        <v>#VALUE!</v>
      </c>
    </row>
    <row r="200" spans="1:7">
      <c r="A200" t="str">
        <f>IFERROR(INDEX(Menu!$B$2:$B$500, MATCH(199, Menu!$L$2:$L$500, 0)),"")</f>
        <v/>
      </c>
      <c r="B200" t="str">
        <f>IF(A200="","",INDEX(Menu!$A$2:$A$500, MATCH(A200, Menu!$B$2:$B$500, 0)))</f>
        <v/>
      </c>
      <c r="C200" t="str">
        <f>IF(A200="","",INDEX(Menu!$D$2:$D$500, MATCH(A200, Menu!$B$2:$B$500, 0)))</f>
        <v/>
      </c>
      <c r="D200">
        <f>IF(A200="",0,COUNTIF('Guest Pre-Orders'!C2:F32,A200))</f>
        <v>0</v>
      </c>
      <c r="E200">
        <f>IF(A200="",0,SUMIF('Counts Pre-Orders'!B:B,A200,'Counts Pre-Orders'!D:D))</f>
        <v>0</v>
      </c>
      <c r="F200">
        <f t="shared" si="6"/>
        <v>0</v>
      </c>
      <c r="G200" t="e">
        <f t="shared" si="7"/>
        <v>#VALUE!</v>
      </c>
    </row>
    <row r="201" spans="1:7">
      <c r="A201" t="str">
        <f>IFERROR(INDEX(Menu!$B$2:$B$500, MATCH(200, Menu!$L$2:$L$500, 0)),"")</f>
        <v/>
      </c>
      <c r="B201" t="str">
        <f>IF(A201="","",INDEX(Menu!$A$2:$A$500, MATCH(A201, Menu!$B$2:$B$500, 0)))</f>
        <v/>
      </c>
      <c r="C201" t="str">
        <f>IF(A201="","",INDEX(Menu!$D$2:$D$500, MATCH(A201, Menu!$B$2:$B$500, 0)))</f>
        <v/>
      </c>
      <c r="D201">
        <f>IF(A201="",0,COUNTIF('Guest Pre-Orders'!C2:F32,A201))</f>
        <v>0</v>
      </c>
      <c r="E201">
        <f>IF(A201="",0,SUMIF('Counts Pre-Orders'!B:B,A201,'Counts Pre-Orders'!D:D))</f>
        <v>0</v>
      </c>
      <c r="F201">
        <f t="shared" si="6"/>
        <v>0</v>
      </c>
      <c r="G201" t="e">
        <f t="shared" si="7"/>
        <v>#VALUE!</v>
      </c>
    </row>
    <row r="202" spans="1:7">
      <c r="A202" t="str">
        <f>IFERROR(INDEX(Menu!$B$2:$B$500, MATCH(201, Menu!$L$2:$L$500, 0)),"")</f>
        <v/>
      </c>
      <c r="B202" t="str">
        <f>IF(A202="","",INDEX(Menu!$A$2:$A$500, MATCH(A202, Menu!$B$2:$B$500, 0)))</f>
        <v/>
      </c>
      <c r="C202" t="str">
        <f>IF(A202="","",INDEX(Menu!$D$2:$D$500, MATCH(A202, Menu!$B$2:$B$500, 0)))</f>
        <v/>
      </c>
      <c r="D202">
        <f>IF(A202="",0,COUNTIF('Guest Pre-Orders'!C2:F32,A202))</f>
        <v>0</v>
      </c>
      <c r="E202">
        <f>IF(A202="",0,SUMIF('Counts Pre-Orders'!B:B,A202,'Counts Pre-Orders'!D:D))</f>
        <v>0</v>
      </c>
      <c r="F202">
        <f t="shared" si="6"/>
        <v>0</v>
      </c>
      <c r="G202" t="e">
        <f t="shared" si="7"/>
        <v>#VALUE!</v>
      </c>
    </row>
    <row r="203" spans="1:7">
      <c r="A203" t="str">
        <f>IFERROR(INDEX(Menu!$B$2:$B$500, MATCH(202, Menu!$L$2:$L$500, 0)),"")</f>
        <v/>
      </c>
      <c r="B203" t="str">
        <f>IF(A203="","",INDEX(Menu!$A$2:$A$500, MATCH(A203, Menu!$B$2:$B$500, 0)))</f>
        <v/>
      </c>
      <c r="C203" t="str">
        <f>IF(A203="","",INDEX(Menu!$D$2:$D$500, MATCH(A203, Menu!$B$2:$B$500, 0)))</f>
        <v/>
      </c>
      <c r="D203">
        <f>IF(A203="",0,COUNTIF('Guest Pre-Orders'!C2:F32,A203))</f>
        <v>0</v>
      </c>
      <c r="E203">
        <f>IF(A203="",0,SUMIF('Counts Pre-Orders'!B:B,A203,'Counts Pre-Orders'!D:D))</f>
        <v>0</v>
      </c>
      <c r="F203">
        <f t="shared" si="6"/>
        <v>0</v>
      </c>
      <c r="G203" t="e">
        <f t="shared" si="7"/>
        <v>#VALUE!</v>
      </c>
    </row>
    <row r="204" spans="1:7">
      <c r="A204" t="str">
        <f>IFERROR(INDEX(Menu!$B$2:$B$500, MATCH(203, Menu!$L$2:$L$500, 0)),"")</f>
        <v/>
      </c>
      <c r="B204" t="str">
        <f>IF(A204="","",INDEX(Menu!$A$2:$A$500, MATCH(A204, Menu!$B$2:$B$500, 0)))</f>
        <v/>
      </c>
      <c r="C204" t="str">
        <f>IF(A204="","",INDEX(Menu!$D$2:$D$500, MATCH(A204, Menu!$B$2:$B$500, 0)))</f>
        <v/>
      </c>
      <c r="D204">
        <f>IF(A204="",0,COUNTIF('Guest Pre-Orders'!C2:F32,A204))</f>
        <v>0</v>
      </c>
      <c r="E204">
        <f>IF(A204="",0,SUMIF('Counts Pre-Orders'!B:B,A204,'Counts Pre-Orders'!D:D))</f>
        <v>0</v>
      </c>
      <c r="F204">
        <f t="shared" si="6"/>
        <v>0</v>
      </c>
      <c r="G204" t="e">
        <f t="shared" si="7"/>
        <v>#VALUE!</v>
      </c>
    </row>
    <row r="205" spans="1:7">
      <c r="A205" t="str">
        <f>IFERROR(INDEX(Menu!$B$2:$B$500, MATCH(204, Menu!$L$2:$L$500, 0)),"")</f>
        <v/>
      </c>
      <c r="B205" t="str">
        <f>IF(A205="","",INDEX(Menu!$A$2:$A$500, MATCH(A205, Menu!$B$2:$B$500, 0)))</f>
        <v/>
      </c>
      <c r="C205" t="str">
        <f>IF(A205="","",INDEX(Menu!$D$2:$D$500, MATCH(A205, Menu!$B$2:$B$500, 0)))</f>
        <v/>
      </c>
      <c r="D205">
        <f>IF(A205="",0,COUNTIF('Guest Pre-Orders'!C2:F32,A205))</f>
        <v>0</v>
      </c>
      <c r="E205">
        <f>IF(A205="",0,SUMIF('Counts Pre-Orders'!B:B,A205,'Counts Pre-Orders'!D:D))</f>
        <v>0</v>
      </c>
      <c r="F205">
        <f t="shared" si="6"/>
        <v>0</v>
      </c>
      <c r="G205" t="e">
        <f t="shared" si="7"/>
        <v>#VALUE!</v>
      </c>
    </row>
    <row r="206" spans="1:7">
      <c r="A206" t="str">
        <f>IFERROR(INDEX(Menu!$B$2:$B$500, MATCH(205, Menu!$L$2:$L$500, 0)),"")</f>
        <v/>
      </c>
      <c r="B206" t="str">
        <f>IF(A206="","",INDEX(Menu!$A$2:$A$500, MATCH(A206, Menu!$B$2:$B$500, 0)))</f>
        <v/>
      </c>
      <c r="C206" t="str">
        <f>IF(A206="","",INDEX(Menu!$D$2:$D$500, MATCH(A206, Menu!$B$2:$B$500, 0)))</f>
        <v/>
      </c>
      <c r="D206">
        <f>IF(A206="",0,COUNTIF('Guest Pre-Orders'!C2:F32,A206))</f>
        <v>0</v>
      </c>
      <c r="E206">
        <f>IF(A206="",0,SUMIF('Counts Pre-Orders'!B:B,A206,'Counts Pre-Orders'!D:D))</f>
        <v>0</v>
      </c>
      <c r="F206">
        <f t="shared" si="6"/>
        <v>0</v>
      </c>
      <c r="G206" t="e">
        <f t="shared" si="7"/>
        <v>#VALUE!</v>
      </c>
    </row>
    <row r="207" spans="1:7">
      <c r="A207" t="str">
        <f>IFERROR(INDEX(Menu!$B$2:$B$500, MATCH(206, Menu!$L$2:$L$500, 0)),"")</f>
        <v/>
      </c>
      <c r="B207" t="str">
        <f>IF(A207="","",INDEX(Menu!$A$2:$A$500, MATCH(A207, Menu!$B$2:$B$500, 0)))</f>
        <v/>
      </c>
      <c r="C207" t="str">
        <f>IF(A207="","",INDEX(Menu!$D$2:$D$500, MATCH(A207, Menu!$B$2:$B$500, 0)))</f>
        <v/>
      </c>
      <c r="D207">
        <f>IF(A207="",0,COUNTIF('Guest Pre-Orders'!C2:F32,A207))</f>
        <v>0</v>
      </c>
      <c r="E207">
        <f>IF(A207="",0,SUMIF('Counts Pre-Orders'!B:B,A207,'Counts Pre-Orders'!D:D))</f>
        <v>0</v>
      </c>
      <c r="F207">
        <f t="shared" si="6"/>
        <v>0</v>
      </c>
      <c r="G207" t="e">
        <f t="shared" si="7"/>
        <v>#VALUE!</v>
      </c>
    </row>
    <row r="208" spans="1:7">
      <c r="A208" t="str">
        <f>IFERROR(INDEX(Menu!$B$2:$B$500, MATCH(207, Menu!$L$2:$L$500, 0)),"")</f>
        <v/>
      </c>
      <c r="B208" t="str">
        <f>IF(A208="","",INDEX(Menu!$A$2:$A$500, MATCH(A208, Menu!$B$2:$B$500, 0)))</f>
        <v/>
      </c>
      <c r="C208" t="str">
        <f>IF(A208="","",INDEX(Menu!$D$2:$D$500, MATCH(A208, Menu!$B$2:$B$500, 0)))</f>
        <v/>
      </c>
      <c r="D208">
        <f>IF(A208="",0,COUNTIF('Guest Pre-Orders'!C2:F32,A208))</f>
        <v>0</v>
      </c>
      <c r="E208">
        <f>IF(A208="",0,SUMIF('Counts Pre-Orders'!B:B,A208,'Counts Pre-Orders'!D:D))</f>
        <v>0</v>
      </c>
      <c r="F208">
        <f t="shared" si="6"/>
        <v>0</v>
      </c>
      <c r="G208" t="e">
        <f t="shared" si="7"/>
        <v>#VALUE!</v>
      </c>
    </row>
    <row r="209" spans="1:7">
      <c r="A209" t="str">
        <f>IFERROR(INDEX(Menu!$B$2:$B$500, MATCH(208, Menu!$L$2:$L$500, 0)),"")</f>
        <v/>
      </c>
      <c r="B209" t="str">
        <f>IF(A209="","",INDEX(Menu!$A$2:$A$500, MATCH(A209, Menu!$B$2:$B$500, 0)))</f>
        <v/>
      </c>
      <c r="C209" t="str">
        <f>IF(A209="","",INDEX(Menu!$D$2:$D$500, MATCH(A209, Menu!$B$2:$B$500, 0)))</f>
        <v/>
      </c>
      <c r="D209">
        <f>IF(A209="",0,COUNTIF('Guest Pre-Orders'!C2:F32,A209))</f>
        <v>0</v>
      </c>
      <c r="E209">
        <f>IF(A209="",0,SUMIF('Counts Pre-Orders'!B:B,A209,'Counts Pre-Orders'!D:D))</f>
        <v>0</v>
      </c>
      <c r="F209">
        <f t="shared" si="6"/>
        <v>0</v>
      </c>
      <c r="G209" t="e">
        <f t="shared" si="7"/>
        <v>#VALUE!</v>
      </c>
    </row>
    <row r="210" spans="1:7">
      <c r="A210" t="str">
        <f>IFERROR(INDEX(Menu!$B$2:$B$500, MATCH(209, Menu!$L$2:$L$500, 0)),"")</f>
        <v/>
      </c>
      <c r="B210" t="str">
        <f>IF(A210="","",INDEX(Menu!$A$2:$A$500, MATCH(A210, Menu!$B$2:$B$500, 0)))</f>
        <v/>
      </c>
      <c r="C210" t="str">
        <f>IF(A210="","",INDEX(Menu!$D$2:$D$500, MATCH(A210, Menu!$B$2:$B$500, 0)))</f>
        <v/>
      </c>
      <c r="D210">
        <f>IF(A210="",0,COUNTIF('Guest Pre-Orders'!C2:F32,A210))</f>
        <v>0</v>
      </c>
      <c r="E210">
        <f>IF(A210="",0,SUMIF('Counts Pre-Orders'!B:B,A210,'Counts Pre-Orders'!D:D))</f>
        <v>0</v>
      </c>
      <c r="F210">
        <f t="shared" si="6"/>
        <v>0</v>
      </c>
      <c r="G210" t="e">
        <f t="shared" si="7"/>
        <v>#VALUE!</v>
      </c>
    </row>
    <row r="211" spans="1:7">
      <c r="A211" t="str">
        <f>IFERROR(INDEX(Menu!$B$2:$B$500, MATCH(210, Menu!$L$2:$L$500, 0)),"")</f>
        <v/>
      </c>
      <c r="B211" t="str">
        <f>IF(A211="","",INDEX(Menu!$A$2:$A$500, MATCH(A211, Menu!$B$2:$B$500, 0)))</f>
        <v/>
      </c>
      <c r="C211" t="str">
        <f>IF(A211="","",INDEX(Menu!$D$2:$D$500, MATCH(A211, Menu!$B$2:$B$500, 0)))</f>
        <v/>
      </c>
      <c r="D211">
        <f>IF(A211="",0,COUNTIF('Guest Pre-Orders'!C2:F32,A211))</f>
        <v>0</v>
      </c>
      <c r="E211">
        <f>IF(A211="",0,SUMIF('Counts Pre-Orders'!B:B,A211,'Counts Pre-Orders'!D:D))</f>
        <v>0</v>
      </c>
      <c r="F211">
        <f t="shared" si="6"/>
        <v>0</v>
      </c>
      <c r="G211" t="e">
        <f t="shared" si="7"/>
        <v>#VALUE!</v>
      </c>
    </row>
    <row r="212" spans="1:7">
      <c r="A212" t="str">
        <f>IFERROR(INDEX(Menu!$B$2:$B$500, MATCH(211, Menu!$L$2:$L$500, 0)),"")</f>
        <v/>
      </c>
      <c r="B212" t="str">
        <f>IF(A212="","",INDEX(Menu!$A$2:$A$500, MATCH(A212, Menu!$B$2:$B$500, 0)))</f>
        <v/>
      </c>
      <c r="C212" t="str">
        <f>IF(A212="","",INDEX(Menu!$D$2:$D$500, MATCH(A212, Menu!$B$2:$B$500, 0)))</f>
        <v/>
      </c>
      <c r="D212">
        <f>IF(A212="",0,COUNTIF('Guest Pre-Orders'!C2:F32,A212))</f>
        <v>0</v>
      </c>
      <c r="E212">
        <f>IF(A212="",0,SUMIF('Counts Pre-Orders'!B:B,A212,'Counts Pre-Orders'!D:D))</f>
        <v>0</v>
      </c>
      <c r="F212">
        <f t="shared" si="6"/>
        <v>0</v>
      </c>
      <c r="G212" t="e">
        <f t="shared" si="7"/>
        <v>#VALUE!</v>
      </c>
    </row>
    <row r="213" spans="1:7">
      <c r="A213" t="str">
        <f>IFERROR(INDEX(Menu!$B$2:$B$500, MATCH(212, Menu!$L$2:$L$500, 0)),"")</f>
        <v/>
      </c>
      <c r="B213" t="str">
        <f>IF(A213="","",INDEX(Menu!$A$2:$A$500, MATCH(A213, Menu!$B$2:$B$500, 0)))</f>
        <v/>
      </c>
      <c r="C213" t="str">
        <f>IF(A213="","",INDEX(Menu!$D$2:$D$500, MATCH(A213, Menu!$B$2:$B$500, 0)))</f>
        <v/>
      </c>
      <c r="D213">
        <f>IF(A213="",0,COUNTIF('Guest Pre-Orders'!C2:F32,A213))</f>
        <v>0</v>
      </c>
      <c r="E213">
        <f>IF(A213="",0,SUMIF('Counts Pre-Orders'!B:B,A213,'Counts Pre-Orders'!D:D))</f>
        <v>0</v>
      </c>
      <c r="F213">
        <f t="shared" si="6"/>
        <v>0</v>
      </c>
      <c r="G213" t="e">
        <f t="shared" si="7"/>
        <v>#VALUE!</v>
      </c>
    </row>
    <row r="214" spans="1:7">
      <c r="A214" t="str">
        <f>IFERROR(INDEX(Menu!$B$2:$B$500, MATCH(213, Menu!$L$2:$L$500, 0)),"")</f>
        <v/>
      </c>
      <c r="B214" t="str">
        <f>IF(A214="","",INDEX(Menu!$A$2:$A$500, MATCH(A214, Menu!$B$2:$B$500, 0)))</f>
        <v/>
      </c>
      <c r="C214" t="str">
        <f>IF(A214="","",INDEX(Menu!$D$2:$D$500, MATCH(A214, Menu!$B$2:$B$500, 0)))</f>
        <v/>
      </c>
      <c r="D214">
        <f>IF(A214="",0,COUNTIF('Guest Pre-Orders'!C2:F32,A214))</f>
        <v>0</v>
      </c>
      <c r="E214">
        <f>IF(A214="",0,SUMIF('Counts Pre-Orders'!B:B,A214,'Counts Pre-Orders'!D:D))</f>
        <v>0</v>
      </c>
      <c r="F214">
        <f t="shared" si="6"/>
        <v>0</v>
      </c>
      <c r="G214" t="e">
        <f t="shared" si="7"/>
        <v>#VALUE!</v>
      </c>
    </row>
    <row r="215" spans="1:7">
      <c r="A215" t="str">
        <f>IFERROR(INDEX(Menu!$B$2:$B$500, MATCH(214, Menu!$L$2:$L$500, 0)),"")</f>
        <v/>
      </c>
      <c r="B215" t="str">
        <f>IF(A215="","",INDEX(Menu!$A$2:$A$500, MATCH(A215, Menu!$B$2:$B$500, 0)))</f>
        <v/>
      </c>
      <c r="C215" t="str">
        <f>IF(A215="","",INDEX(Menu!$D$2:$D$500, MATCH(A215, Menu!$B$2:$B$500, 0)))</f>
        <v/>
      </c>
      <c r="D215">
        <f>IF(A215="",0,COUNTIF('Guest Pre-Orders'!C2:F32,A215))</f>
        <v>0</v>
      </c>
      <c r="E215">
        <f>IF(A215="",0,SUMIF('Counts Pre-Orders'!B:B,A215,'Counts Pre-Orders'!D:D))</f>
        <v>0</v>
      </c>
      <c r="F215">
        <f t="shared" si="6"/>
        <v>0</v>
      </c>
      <c r="G215" t="e">
        <f t="shared" si="7"/>
        <v>#VALUE!</v>
      </c>
    </row>
    <row r="216" spans="1:7">
      <c r="A216" t="str">
        <f>IFERROR(INDEX(Menu!$B$2:$B$500, MATCH(215, Menu!$L$2:$L$500, 0)),"")</f>
        <v/>
      </c>
      <c r="B216" t="str">
        <f>IF(A216="","",INDEX(Menu!$A$2:$A$500, MATCH(A216, Menu!$B$2:$B$500, 0)))</f>
        <v/>
      </c>
      <c r="C216" t="str">
        <f>IF(A216="","",INDEX(Menu!$D$2:$D$500, MATCH(A216, Menu!$B$2:$B$500, 0)))</f>
        <v/>
      </c>
      <c r="D216">
        <f>IF(A216="",0,COUNTIF('Guest Pre-Orders'!C2:F32,A216))</f>
        <v>0</v>
      </c>
      <c r="E216">
        <f>IF(A216="",0,SUMIF('Counts Pre-Orders'!B:B,A216,'Counts Pre-Orders'!D:D))</f>
        <v>0</v>
      </c>
      <c r="F216">
        <f t="shared" si="6"/>
        <v>0</v>
      </c>
      <c r="G216" t="e">
        <f t="shared" si="7"/>
        <v>#VALUE!</v>
      </c>
    </row>
    <row r="217" spans="1:7">
      <c r="A217" t="str">
        <f>IFERROR(INDEX(Menu!$B$2:$B$500, MATCH(216, Menu!$L$2:$L$500, 0)),"")</f>
        <v/>
      </c>
      <c r="B217" t="str">
        <f>IF(A217="","",INDEX(Menu!$A$2:$A$500, MATCH(A217, Menu!$B$2:$B$500, 0)))</f>
        <v/>
      </c>
      <c r="C217" t="str">
        <f>IF(A217="","",INDEX(Menu!$D$2:$D$500, MATCH(A217, Menu!$B$2:$B$500, 0)))</f>
        <v/>
      </c>
      <c r="D217">
        <f>IF(A217="",0,COUNTIF('Guest Pre-Orders'!C2:F32,A217))</f>
        <v>0</v>
      </c>
      <c r="E217">
        <f>IF(A217="",0,SUMIF('Counts Pre-Orders'!B:B,A217,'Counts Pre-Orders'!D:D))</f>
        <v>0</v>
      </c>
      <c r="F217">
        <f t="shared" si="6"/>
        <v>0</v>
      </c>
      <c r="G217" t="e">
        <f t="shared" si="7"/>
        <v>#VALUE!</v>
      </c>
    </row>
    <row r="218" spans="1:7">
      <c r="A218" t="str">
        <f>IFERROR(INDEX(Menu!$B$2:$B$500, MATCH(217, Menu!$L$2:$L$500, 0)),"")</f>
        <v/>
      </c>
      <c r="B218" t="str">
        <f>IF(A218="","",INDEX(Menu!$A$2:$A$500, MATCH(A218, Menu!$B$2:$B$500, 0)))</f>
        <v/>
      </c>
      <c r="C218" t="str">
        <f>IF(A218="","",INDEX(Menu!$D$2:$D$500, MATCH(A218, Menu!$B$2:$B$500, 0)))</f>
        <v/>
      </c>
      <c r="D218">
        <f>IF(A218="",0,COUNTIF('Guest Pre-Orders'!C2:F32,A218))</f>
        <v>0</v>
      </c>
      <c r="E218">
        <f>IF(A218="",0,SUMIF('Counts Pre-Orders'!B:B,A218,'Counts Pre-Orders'!D:D))</f>
        <v>0</v>
      </c>
      <c r="F218">
        <f t="shared" si="6"/>
        <v>0</v>
      </c>
      <c r="G218" t="e">
        <f t="shared" si="7"/>
        <v>#VALUE!</v>
      </c>
    </row>
    <row r="219" spans="1:7">
      <c r="A219" t="str">
        <f>IFERROR(INDEX(Menu!$B$2:$B$500, MATCH(218, Menu!$L$2:$L$500, 0)),"")</f>
        <v/>
      </c>
      <c r="B219" t="str">
        <f>IF(A219="","",INDEX(Menu!$A$2:$A$500, MATCH(A219, Menu!$B$2:$B$500, 0)))</f>
        <v/>
      </c>
      <c r="C219" t="str">
        <f>IF(A219="","",INDEX(Menu!$D$2:$D$500, MATCH(A219, Menu!$B$2:$B$500, 0)))</f>
        <v/>
      </c>
      <c r="D219">
        <f>IF(A219="",0,COUNTIF('Guest Pre-Orders'!C2:F32,A219))</f>
        <v>0</v>
      </c>
      <c r="E219">
        <f>IF(A219="",0,SUMIF('Counts Pre-Orders'!B:B,A219,'Counts Pre-Orders'!D:D))</f>
        <v>0</v>
      </c>
      <c r="F219">
        <f t="shared" si="6"/>
        <v>0</v>
      </c>
      <c r="G219" t="e">
        <f t="shared" si="7"/>
        <v>#VALUE!</v>
      </c>
    </row>
    <row r="220" spans="1:7">
      <c r="A220" t="str">
        <f>IFERROR(INDEX(Menu!$B$2:$B$500, MATCH(219, Menu!$L$2:$L$500, 0)),"")</f>
        <v/>
      </c>
      <c r="B220" t="str">
        <f>IF(A220="","",INDEX(Menu!$A$2:$A$500, MATCH(A220, Menu!$B$2:$B$500, 0)))</f>
        <v/>
      </c>
      <c r="C220" t="str">
        <f>IF(A220="","",INDEX(Menu!$D$2:$D$500, MATCH(A220, Menu!$B$2:$B$500, 0)))</f>
        <v/>
      </c>
      <c r="D220">
        <f>IF(A220="",0,COUNTIF('Guest Pre-Orders'!C2:F32,A220))</f>
        <v>0</v>
      </c>
      <c r="E220">
        <f>IF(A220="",0,SUMIF('Counts Pre-Orders'!B:B,A220,'Counts Pre-Orders'!D:D))</f>
        <v>0</v>
      </c>
      <c r="F220">
        <f t="shared" si="6"/>
        <v>0</v>
      </c>
      <c r="G220" t="e">
        <f t="shared" si="7"/>
        <v>#VALUE!</v>
      </c>
    </row>
    <row r="221" spans="1:7">
      <c r="A221" t="str">
        <f>IFERROR(INDEX(Menu!$B$2:$B$500, MATCH(220, Menu!$L$2:$L$500, 0)),"")</f>
        <v/>
      </c>
      <c r="B221" t="str">
        <f>IF(A221="","",INDEX(Menu!$A$2:$A$500, MATCH(A221, Menu!$B$2:$B$500, 0)))</f>
        <v/>
      </c>
      <c r="C221" t="str">
        <f>IF(A221="","",INDEX(Menu!$D$2:$D$500, MATCH(A221, Menu!$B$2:$B$500, 0)))</f>
        <v/>
      </c>
      <c r="D221">
        <f>IF(A221="",0,COUNTIF('Guest Pre-Orders'!C2:F32,A221))</f>
        <v>0</v>
      </c>
      <c r="E221">
        <f>IF(A221="",0,SUMIF('Counts Pre-Orders'!B:B,A221,'Counts Pre-Orders'!D:D))</f>
        <v>0</v>
      </c>
      <c r="F221">
        <f t="shared" si="6"/>
        <v>0</v>
      </c>
      <c r="G221" t="e">
        <f t="shared" si="7"/>
        <v>#VALUE!</v>
      </c>
    </row>
    <row r="222" spans="1:7">
      <c r="A222" t="str">
        <f>IFERROR(INDEX(Menu!$B$2:$B$500, MATCH(221, Menu!$L$2:$L$500, 0)),"")</f>
        <v/>
      </c>
      <c r="B222" t="str">
        <f>IF(A222="","",INDEX(Menu!$A$2:$A$500, MATCH(A222, Menu!$B$2:$B$500, 0)))</f>
        <v/>
      </c>
      <c r="C222" t="str">
        <f>IF(A222="","",INDEX(Menu!$D$2:$D$500, MATCH(A222, Menu!$B$2:$B$500, 0)))</f>
        <v/>
      </c>
      <c r="D222">
        <f>IF(A222="",0,COUNTIF('Guest Pre-Orders'!C2:F32,A222))</f>
        <v>0</v>
      </c>
      <c r="E222">
        <f>IF(A222="",0,SUMIF('Counts Pre-Orders'!B:B,A222,'Counts Pre-Orders'!D:D))</f>
        <v>0</v>
      </c>
      <c r="F222">
        <f t="shared" si="6"/>
        <v>0</v>
      </c>
      <c r="G222" t="e">
        <f t="shared" si="7"/>
        <v>#VALUE!</v>
      </c>
    </row>
    <row r="223" spans="1:7">
      <c r="A223" t="str">
        <f>IFERROR(INDEX(Menu!$B$2:$B$500, MATCH(222, Menu!$L$2:$L$500, 0)),"")</f>
        <v/>
      </c>
      <c r="B223" t="str">
        <f>IF(A223="","",INDEX(Menu!$A$2:$A$500, MATCH(A223, Menu!$B$2:$B$500, 0)))</f>
        <v/>
      </c>
      <c r="C223" t="str">
        <f>IF(A223="","",INDEX(Menu!$D$2:$D$500, MATCH(A223, Menu!$B$2:$B$500, 0)))</f>
        <v/>
      </c>
      <c r="D223">
        <f>IF(A223="",0,COUNTIF('Guest Pre-Orders'!C2:F32,A223))</f>
        <v>0</v>
      </c>
      <c r="E223">
        <f>IF(A223="",0,SUMIF('Counts Pre-Orders'!B:B,A223,'Counts Pre-Orders'!D:D))</f>
        <v>0</v>
      </c>
      <c r="F223">
        <f t="shared" si="6"/>
        <v>0</v>
      </c>
      <c r="G223" t="e">
        <f t="shared" si="7"/>
        <v>#VALUE!</v>
      </c>
    </row>
    <row r="224" spans="1:7">
      <c r="A224" t="str">
        <f>IFERROR(INDEX(Menu!$B$2:$B$500, MATCH(223, Menu!$L$2:$L$500, 0)),"")</f>
        <v/>
      </c>
      <c r="B224" t="str">
        <f>IF(A224="","",INDEX(Menu!$A$2:$A$500, MATCH(A224, Menu!$B$2:$B$500, 0)))</f>
        <v/>
      </c>
      <c r="C224" t="str">
        <f>IF(A224="","",INDEX(Menu!$D$2:$D$500, MATCH(A224, Menu!$B$2:$B$500, 0)))</f>
        <v/>
      </c>
      <c r="D224">
        <f>IF(A224="",0,COUNTIF('Guest Pre-Orders'!C2:F32,A224))</f>
        <v>0</v>
      </c>
      <c r="E224">
        <f>IF(A224="",0,SUMIF('Counts Pre-Orders'!B:B,A224,'Counts Pre-Orders'!D:D))</f>
        <v>0</v>
      </c>
      <c r="F224">
        <f t="shared" si="6"/>
        <v>0</v>
      </c>
      <c r="G224" t="e">
        <f t="shared" si="7"/>
        <v>#VALUE!</v>
      </c>
    </row>
    <row r="225" spans="1:7">
      <c r="A225" t="str">
        <f>IFERROR(INDEX(Menu!$B$2:$B$500, MATCH(224, Menu!$L$2:$L$500, 0)),"")</f>
        <v/>
      </c>
      <c r="B225" t="str">
        <f>IF(A225="","",INDEX(Menu!$A$2:$A$500, MATCH(A225, Menu!$B$2:$B$500, 0)))</f>
        <v/>
      </c>
      <c r="C225" t="str">
        <f>IF(A225="","",INDEX(Menu!$D$2:$D$500, MATCH(A225, Menu!$B$2:$B$500, 0)))</f>
        <v/>
      </c>
      <c r="D225">
        <f>IF(A225="",0,COUNTIF('Guest Pre-Orders'!C2:F32,A225))</f>
        <v>0</v>
      </c>
      <c r="E225">
        <f>IF(A225="",0,SUMIF('Counts Pre-Orders'!B:B,A225,'Counts Pre-Orders'!D:D))</f>
        <v>0</v>
      </c>
      <c r="F225">
        <f t="shared" si="6"/>
        <v>0</v>
      </c>
      <c r="G225" t="e">
        <f t="shared" si="7"/>
        <v>#VALUE!</v>
      </c>
    </row>
    <row r="226" spans="1:7">
      <c r="A226" t="str">
        <f>IFERROR(INDEX(Menu!$B$2:$B$500, MATCH(225, Menu!$L$2:$L$500, 0)),"")</f>
        <v/>
      </c>
      <c r="B226" t="str">
        <f>IF(A226="","",INDEX(Menu!$A$2:$A$500, MATCH(A226, Menu!$B$2:$B$500, 0)))</f>
        <v/>
      </c>
      <c r="C226" t="str">
        <f>IF(A226="","",INDEX(Menu!$D$2:$D$500, MATCH(A226, Menu!$B$2:$B$500, 0)))</f>
        <v/>
      </c>
      <c r="D226">
        <f>IF(A226="",0,COUNTIF('Guest Pre-Orders'!C2:F32,A226))</f>
        <v>0</v>
      </c>
      <c r="E226">
        <f>IF(A226="",0,SUMIF('Counts Pre-Orders'!B:B,A226,'Counts Pre-Orders'!D:D))</f>
        <v>0</v>
      </c>
      <c r="F226">
        <f t="shared" si="6"/>
        <v>0</v>
      </c>
      <c r="G226" t="e">
        <f t="shared" si="7"/>
        <v>#VALUE!</v>
      </c>
    </row>
    <row r="227" spans="1:7">
      <c r="A227" t="str">
        <f>IFERROR(INDEX(Menu!$B$2:$B$500, MATCH(226, Menu!$L$2:$L$500, 0)),"")</f>
        <v/>
      </c>
      <c r="B227" t="str">
        <f>IF(A227="","",INDEX(Menu!$A$2:$A$500, MATCH(A227, Menu!$B$2:$B$500, 0)))</f>
        <v/>
      </c>
      <c r="C227" t="str">
        <f>IF(A227="","",INDEX(Menu!$D$2:$D$500, MATCH(A227, Menu!$B$2:$B$500, 0)))</f>
        <v/>
      </c>
      <c r="D227">
        <f>IF(A227="",0,COUNTIF('Guest Pre-Orders'!C2:F32,A227))</f>
        <v>0</v>
      </c>
      <c r="E227">
        <f>IF(A227="",0,SUMIF('Counts Pre-Orders'!B:B,A227,'Counts Pre-Orders'!D:D))</f>
        <v>0</v>
      </c>
      <c r="F227">
        <f t="shared" si="6"/>
        <v>0</v>
      </c>
      <c r="G227" t="e">
        <f t="shared" si="7"/>
        <v>#VALUE!</v>
      </c>
    </row>
    <row r="228" spans="1:7">
      <c r="A228" t="str">
        <f>IFERROR(INDEX(Menu!$B$2:$B$500, MATCH(227, Menu!$L$2:$L$500, 0)),"")</f>
        <v/>
      </c>
      <c r="B228" t="str">
        <f>IF(A228="","",INDEX(Menu!$A$2:$A$500, MATCH(A228, Menu!$B$2:$B$500, 0)))</f>
        <v/>
      </c>
      <c r="C228" t="str">
        <f>IF(A228="","",INDEX(Menu!$D$2:$D$500, MATCH(A228, Menu!$B$2:$B$500, 0)))</f>
        <v/>
      </c>
      <c r="D228">
        <f>IF(A228="",0,COUNTIF('Guest Pre-Orders'!C2:F32,A228))</f>
        <v>0</v>
      </c>
      <c r="E228">
        <f>IF(A228="",0,SUMIF('Counts Pre-Orders'!B:B,A228,'Counts Pre-Orders'!D:D))</f>
        <v>0</v>
      </c>
      <c r="F228">
        <f t="shared" si="6"/>
        <v>0</v>
      </c>
      <c r="G228" t="e">
        <f t="shared" si="7"/>
        <v>#VALUE!</v>
      </c>
    </row>
    <row r="229" spans="1:7">
      <c r="A229" t="str">
        <f>IFERROR(INDEX(Menu!$B$2:$B$500, MATCH(228, Menu!$L$2:$L$500, 0)),"")</f>
        <v/>
      </c>
      <c r="B229" t="str">
        <f>IF(A229="","",INDEX(Menu!$A$2:$A$500, MATCH(A229, Menu!$B$2:$B$500, 0)))</f>
        <v/>
      </c>
      <c r="C229" t="str">
        <f>IF(A229="","",INDEX(Menu!$D$2:$D$500, MATCH(A229, Menu!$B$2:$B$500, 0)))</f>
        <v/>
      </c>
      <c r="D229">
        <f>IF(A229="",0,COUNTIF('Guest Pre-Orders'!C2:F32,A229))</f>
        <v>0</v>
      </c>
      <c r="E229">
        <f>IF(A229="",0,SUMIF('Counts Pre-Orders'!B:B,A229,'Counts Pre-Orders'!D:D))</f>
        <v>0</v>
      </c>
      <c r="F229">
        <f t="shared" si="6"/>
        <v>0</v>
      </c>
      <c r="G229" t="e">
        <f t="shared" si="7"/>
        <v>#VALUE!</v>
      </c>
    </row>
    <row r="230" spans="1:7">
      <c r="A230" t="str">
        <f>IFERROR(INDEX(Menu!$B$2:$B$500, MATCH(229, Menu!$L$2:$L$500, 0)),"")</f>
        <v/>
      </c>
      <c r="B230" t="str">
        <f>IF(A230="","",INDEX(Menu!$A$2:$A$500, MATCH(A230, Menu!$B$2:$B$500, 0)))</f>
        <v/>
      </c>
      <c r="C230" t="str">
        <f>IF(A230="","",INDEX(Menu!$D$2:$D$500, MATCH(A230, Menu!$B$2:$B$500, 0)))</f>
        <v/>
      </c>
      <c r="D230">
        <f>IF(A230="",0,COUNTIF('Guest Pre-Orders'!C2:F32,A230))</f>
        <v>0</v>
      </c>
      <c r="E230">
        <f>IF(A230="",0,SUMIF('Counts Pre-Orders'!B:B,A230,'Counts Pre-Orders'!D:D))</f>
        <v>0</v>
      </c>
      <c r="F230">
        <f t="shared" si="6"/>
        <v>0</v>
      </c>
      <c r="G230" t="e">
        <f t="shared" si="7"/>
        <v>#VALUE!</v>
      </c>
    </row>
    <row r="231" spans="1:7">
      <c r="A231" t="str">
        <f>IFERROR(INDEX(Menu!$B$2:$B$500, MATCH(230, Menu!$L$2:$L$500, 0)),"")</f>
        <v/>
      </c>
      <c r="B231" t="str">
        <f>IF(A231="","",INDEX(Menu!$A$2:$A$500, MATCH(A231, Menu!$B$2:$B$500, 0)))</f>
        <v/>
      </c>
      <c r="C231" t="str">
        <f>IF(A231="","",INDEX(Menu!$D$2:$D$500, MATCH(A231, Menu!$B$2:$B$500, 0)))</f>
        <v/>
      </c>
      <c r="D231">
        <f>IF(A231="",0,COUNTIF('Guest Pre-Orders'!C2:F32,A231))</f>
        <v>0</v>
      </c>
      <c r="E231">
        <f>IF(A231="",0,SUMIF('Counts Pre-Orders'!B:B,A231,'Counts Pre-Orders'!D:D))</f>
        <v>0</v>
      </c>
      <c r="F231">
        <f t="shared" si="6"/>
        <v>0</v>
      </c>
      <c r="G231" t="e">
        <f t="shared" si="7"/>
        <v>#VALUE!</v>
      </c>
    </row>
    <row r="232" spans="1:7">
      <c r="A232" t="str">
        <f>IFERROR(INDEX(Menu!$B$2:$B$500, MATCH(231, Menu!$L$2:$L$500, 0)),"")</f>
        <v/>
      </c>
      <c r="B232" t="str">
        <f>IF(A232="","",INDEX(Menu!$A$2:$A$500, MATCH(A232, Menu!$B$2:$B$500, 0)))</f>
        <v/>
      </c>
      <c r="C232" t="str">
        <f>IF(A232="","",INDEX(Menu!$D$2:$D$500, MATCH(A232, Menu!$B$2:$B$500, 0)))</f>
        <v/>
      </c>
      <c r="D232">
        <f>IF(A232="",0,COUNTIF('Guest Pre-Orders'!C2:F32,A232))</f>
        <v>0</v>
      </c>
      <c r="E232">
        <f>IF(A232="",0,SUMIF('Counts Pre-Orders'!B:B,A232,'Counts Pre-Orders'!D:D))</f>
        <v>0</v>
      </c>
      <c r="F232">
        <f t="shared" si="6"/>
        <v>0</v>
      </c>
      <c r="G232" t="e">
        <f t="shared" si="7"/>
        <v>#VALUE!</v>
      </c>
    </row>
    <row r="233" spans="1:7">
      <c r="A233" t="str">
        <f>IFERROR(INDEX(Menu!$B$2:$B$500, MATCH(232, Menu!$L$2:$L$500, 0)),"")</f>
        <v/>
      </c>
      <c r="B233" t="str">
        <f>IF(A233="","",INDEX(Menu!$A$2:$A$500, MATCH(A233, Menu!$B$2:$B$500, 0)))</f>
        <v/>
      </c>
      <c r="C233" t="str">
        <f>IF(A233="","",INDEX(Menu!$D$2:$D$500, MATCH(A233, Menu!$B$2:$B$500, 0)))</f>
        <v/>
      </c>
      <c r="D233">
        <f>IF(A233="",0,COUNTIF('Guest Pre-Orders'!C2:F32,A233))</f>
        <v>0</v>
      </c>
      <c r="E233">
        <f>IF(A233="",0,SUMIF('Counts Pre-Orders'!B:B,A233,'Counts Pre-Orders'!D:D))</f>
        <v>0</v>
      </c>
      <c r="F233">
        <f t="shared" si="6"/>
        <v>0</v>
      </c>
      <c r="G233" t="e">
        <f t="shared" si="7"/>
        <v>#VALUE!</v>
      </c>
    </row>
    <row r="234" spans="1:7">
      <c r="A234" t="str">
        <f>IFERROR(INDEX(Menu!$B$2:$B$500, MATCH(233, Menu!$L$2:$L$500, 0)),"")</f>
        <v/>
      </c>
      <c r="B234" t="str">
        <f>IF(A234="","",INDEX(Menu!$A$2:$A$500, MATCH(A234, Menu!$B$2:$B$500, 0)))</f>
        <v/>
      </c>
      <c r="C234" t="str">
        <f>IF(A234="","",INDEX(Menu!$D$2:$D$500, MATCH(A234, Menu!$B$2:$B$500, 0)))</f>
        <v/>
      </c>
      <c r="D234">
        <f>IF(A234="",0,COUNTIF('Guest Pre-Orders'!C2:F32,A234))</f>
        <v>0</v>
      </c>
      <c r="E234">
        <f>IF(A234="",0,SUMIF('Counts Pre-Orders'!B:B,A234,'Counts Pre-Orders'!D:D))</f>
        <v>0</v>
      </c>
      <c r="F234">
        <f t="shared" si="6"/>
        <v>0</v>
      </c>
      <c r="G234" t="e">
        <f t="shared" si="7"/>
        <v>#VALUE!</v>
      </c>
    </row>
    <row r="235" spans="1:7">
      <c r="A235" t="str">
        <f>IFERROR(INDEX(Menu!$B$2:$B$500, MATCH(234, Menu!$L$2:$L$500, 0)),"")</f>
        <v/>
      </c>
      <c r="B235" t="str">
        <f>IF(A235="","",INDEX(Menu!$A$2:$A$500, MATCH(A235, Menu!$B$2:$B$500, 0)))</f>
        <v/>
      </c>
      <c r="C235" t="str">
        <f>IF(A235="","",INDEX(Menu!$D$2:$D$500, MATCH(A235, Menu!$B$2:$B$500, 0)))</f>
        <v/>
      </c>
      <c r="D235">
        <f>IF(A235="",0,COUNTIF('Guest Pre-Orders'!C2:F32,A235))</f>
        <v>0</v>
      </c>
      <c r="E235">
        <f>IF(A235="",0,SUMIF('Counts Pre-Orders'!B:B,A235,'Counts Pre-Orders'!D:D))</f>
        <v>0</v>
      </c>
      <c r="F235">
        <f t="shared" si="6"/>
        <v>0</v>
      </c>
      <c r="G235" t="e">
        <f t="shared" si="7"/>
        <v>#VALUE!</v>
      </c>
    </row>
    <row r="236" spans="1:7">
      <c r="A236" t="str">
        <f>IFERROR(INDEX(Menu!$B$2:$B$500, MATCH(235, Menu!$L$2:$L$500, 0)),"")</f>
        <v/>
      </c>
      <c r="B236" t="str">
        <f>IF(A236="","",INDEX(Menu!$A$2:$A$500, MATCH(A236, Menu!$B$2:$B$500, 0)))</f>
        <v/>
      </c>
      <c r="C236" t="str">
        <f>IF(A236="","",INDEX(Menu!$D$2:$D$500, MATCH(A236, Menu!$B$2:$B$500, 0)))</f>
        <v/>
      </c>
      <c r="D236">
        <f>IF(A236="",0,COUNTIF('Guest Pre-Orders'!C2:F32,A236))</f>
        <v>0</v>
      </c>
      <c r="E236">
        <f>IF(A236="",0,SUMIF('Counts Pre-Orders'!B:B,A236,'Counts Pre-Orders'!D:D))</f>
        <v>0</v>
      </c>
      <c r="F236">
        <f t="shared" si="6"/>
        <v>0</v>
      </c>
      <c r="G236" t="e">
        <f t="shared" si="7"/>
        <v>#VALUE!</v>
      </c>
    </row>
    <row r="237" spans="1:7">
      <c r="A237" t="str">
        <f>IFERROR(INDEX(Menu!$B$2:$B$500, MATCH(236, Menu!$L$2:$L$500, 0)),"")</f>
        <v/>
      </c>
      <c r="B237" t="str">
        <f>IF(A237="","",INDEX(Menu!$A$2:$A$500, MATCH(A237, Menu!$B$2:$B$500, 0)))</f>
        <v/>
      </c>
      <c r="C237" t="str">
        <f>IF(A237="","",INDEX(Menu!$D$2:$D$500, MATCH(A237, Menu!$B$2:$B$500, 0)))</f>
        <v/>
      </c>
      <c r="D237">
        <f>IF(A237="",0,COUNTIF('Guest Pre-Orders'!C2:F32,A237))</f>
        <v>0</v>
      </c>
      <c r="E237">
        <f>IF(A237="",0,SUMIF('Counts Pre-Orders'!B:B,A237,'Counts Pre-Orders'!D:D))</f>
        <v>0</v>
      </c>
      <c r="F237">
        <f t="shared" si="6"/>
        <v>0</v>
      </c>
      <c r="G237" t="e">
        <f t="shared" si="7"/>
        <v>#VALUE!</v>
      </c>
    </row>
    <row r="238" spans="1:7">
      <c r="A238" t="str">
        <f>IFERROR(INDEX(Menu!$B$2:$B$500, MATCH(237, Menu!$L$2:$L$500, 0)),"")</f>
        <v/>
      </c>
      <c r="B238" t="str">
        <f>IF(A238="","",INDEX(Menu!$A$2:$A$500, MATCH(A238, Menu!$B$2:$B$500, 0)))</f>
        <v/>
      </c>
      <c r="C238" t="str">
        <f>IF(A238="","",INDEX(Menu!$D$2:$D$500, MATCH(A238, Menu!$B$2:$B$500, 0)))</f>
        <v/>
      </c>
      <c r="D238">
        <f>IF(A238="",0,COUNTIF('Guest Pre-Orders'!C2:F32,A238))</f>
        <v>0</v>
      </c>
      <c r="E238">
        <f>IF(A238="",0,SUMIF('Counts Pre-Orders'!B:B,A238,'Counts Pre-Orders'!D:D))</f>
        <v>0</v>
      </c>
      <c r="F238">
        <f t="shared" si="6"/>
        <v>0</v>
      </c>
      <c r="G238" t="e">
        <f t="shared" si="7"/>
        <v>#VALUE!</v>
      </c>
    </row>
    <row r="239" spans="1:7">
      <c r="A239" t="str">
        <f>IFERROR(INDEX(Menu!$B$2:$B$500, MATCH(238, Menu!$L$2:$L$500, 0)),"")</f>
        <v/>
      </c>
      <c r="B239" t="str">
        <f>IF(A239="","",INDEX(Menu!$A$2:$A$500, MATCH(A239, Menu!$B$2:$B$500, 0)))</f>
        <v/>
      </c>
      <c r="C239" t="str">
        <f>IF(A239="","",INDEX(Menu!$D$2:$D$500, MATCH(A239, Menu!$B$2:$B$500, 0)))</f>
        <v/>
      </c>
      <c r="D239">
        <f>IF(A239="",0,COUNTIF('Guest Pre-Orders'!C2:F32,A239))</f>
        <v>0</v>
      </c>
      <c r="E239">
        <f>IF(A239="",0,SUMIF('Counts Pre-Orders'!B:B,A239,'Counts Pre-Orders'!D:D))</f>
        <v>0</v>
      </c>
      <c r="F239">
        <f t="shared" si="6"/>
        <v>0</v>
      </c>
      <c r="G239" t="e">
        <f t="shared" si="7"/>
        <v>#VALUE!</v>
      </c>
    </row>
    <row r="240" spans="1:7">
      <c r="A240" t="str">
        <f>IFERROR(INDEX(Menu!$B$2:$B$500, MATCH(239, Menu!$L$2:$L$500, 0)),"")</f>
        <v/>
      </c>
      <c r="B240" t="str">
        <f>IF(A240="","",INDEX(Menu!$A$2:$A$500, MATCH(A240, Menu!$B$2:$B$500, 0)))</f>
        <v/>
      </c>
      <c r="C240" t="str">
        <f>IF(A240="","",INDEX(Menu!$D$2:$D$500, MATCH(A240, Menu!$B$2:$B$500, 0)))</f>
        <v/>
      </c>
      <c r="D240">
        <f>IF(A240="",0,COUNTIF('Guest Pre-Orders'!C2:F32,A240))</f>
        <v>0</v>
      </c>
      <c r="E240">
        <f>IF(A240="",0,SUMIF('Counts Pre-Orders'!B:B,A240,'Counts Pre-Orders'!D:D))</f>
        <v>0</v>
      </c>
      <c r="F240">
        <f t="shared" si="6"/>
        <v>0</v>
      </c>
      <c r="G240" t="e">
        <f t="shared" si="7"/>
        <v>#VALUE!</v>
      </c>
    </row>
    <row r="241" spans="1:7">
      <c r="A241" t="str">
        <f>IFERROR(INDEX(Menu!$B$2:$B$500, MATCH(240, Menu!$L$2:$L$500, 0)),"")</f>
        <v/>
      </c>
      <c r="B241" t="str">
        <f>IF(A241="","",INDEX(Menu!$A$2:$A$500, MATCH(A241, Menu!$B$2:$B$500, 0)))</f>
        <v/>
      </c>
      <c r="C241" t="str">
        <f>IF(A241="","",INDEX(Menu!$D$2:$D$500, MATCH(A241, Menu!$B$2:$B$500, 0)))</f>
        <v/>
      </c>
      <c r="D241">
        <f>IF(A241="",0,COUNTIF('Guest Pre-Orders'!C2:F32,A241))</f>
        <v>0</v>
      </c>
      <c r="E241">
        <f>IF(A241="",0,SUMIF('Counts Pre-Orders'!B:B,A241,'Counts Pre-Orders'!D:D))</f>
        <v>0</v>
      </c>
      <c r="F241">
        <f t="shared" si="6"/>
        <v>0</v>
      </c>
      <c r="G241" t="e">
        <f t="shared" si="7"/>
        <v>#VALUE!</v>
      </c>
    </row>
    <row r="242" spans="1:7">
      <c r="A242" t="str">
        <f>IFERROR(INDEX(Menu!$B$2:$B$500, MATCH(241, Menu!$L$2:$L$500, 0)),"")</f>
        <v/>
      </c>
      <c r="B242" t="str">
        <f>IF(A242="","",INDEX(Menu!$A$2:$A$500, MATCH(A242, Menu!$B$2:$B$500, 0)))</f>
        <v/>
      </c>
      <c r="C242" t="str">
        <f>IF(A242="","",INDEX(Menu!$D$2:$D$500, MATCH(A242, Menu!$B$2:$B$500, 0)))</f>
        <v/>
      </c>
      <c r="D242">
        <f>IF(A242="",0,COUNTIF('Guest Pre-Orders'!C2:F32,A242))</f>
        <v>0</v>
      </c>
      <c r="E242">
        <f>IF(A242="",0,SUMIF('Counts Pre-Orders'!B:B,A242,'Counts Pre-Orders'!D:D))</f>
        <v>0</v>
      </c>
      <c r="F242">
        <f t="shared" si="6"/>
        <v>0</v>
      </c>
      <c r="G242" t="e">
        <f t="shared" si="7"/>
        <v>#VALUE!</v>
      </c>
    </row>
    <row r="243" spans="1:7">
      <c r="A243" t="str">
        <f>IFERROR(INDEX(Menu!$B$2:$B$500, MATCH(242, Menu!$L$2:$L$500, 0)),"")</f>
        <v/>
      </c>
      <c r="B243" t="str">
        <f>IF(A243="","",INDEX(Menu!$A$2:$A$500, MATCH(A243, Menu!$B$2:$B$500, 0)))</f>
        <v/>
      </c>
      <c r="C243" t="str">
        <f>IF(A243="","",INDEX(Menu!$D$2:$D$500, MATCH(A243, Menu!$B$2:$B$500, 0)))</f>
        <v/>
      </c>
      <c r="D243">
        <f>IF(A243="",0,COUNTIF('Guest Pre-Orders'!C2:F32,A243))</f>
        <v>0</v>
      </c>
      <c r="E243">
        <f>IF(A243="",0,SUMIF('Counts Pre-Orders'!B:B,A243,'Counts Pre-Orders'!D:D))</f>
        <v>0</v>
      </c>
      <c r="F243">
        <f t="shared" si="6"/>
        <v>0</v>
      </c>
      <c r="G243" t="e">
        <f t="shared" si="7"/>
        <v>#VALUE!</v>
      </c>
    </row>
    <row r="244" spans="1:7">
      <c r="A244" t="str">
        <f>IFERROR(INDEX(Menu!$B$2:$B$500, MATCH(243, Menu!$L$2:$L$500, 0)),"")</f>
        <v/>
      </c>
      <c r="B244" t="str">
        <f>IF(A244="","",INDEX(Menu!$A$2:$A$500, MATCH(A244, Menu!$B$2:$B$500, 0)))</f>
        <v/>
      </c>
      <c r="C244" t="str">
        <f>IF(A244="","",INDEX(Menu!$D$2:$D$500, MATCH(A244, Menu!$B$2:$B$500, 0)))</f>
        <v/>
      </c>
      <c r="D244">
        <f>IF(A244="",0,COUNTIF('Guest Pre-Orders'!C2:F32,A244))</f>
        <v>0</v>
      </c>
      <c r="E244">
        <f>IF(A244="",0,SUMIF('Counts Pre-Orders'!B:B,A244,'Counts Pre-Orders'!D:D))</f>
        <v>0</v>
      </c>
      <c r="F244">
        <f t="shared" si="6"/>
        <v>0</v>
      </c>
      <c r="G244" t="e">
        <f t="shared" si="7"/>
        <v>#VALUE!</v>
      </c>
    </row>
    <row r="245" spans="1:7">
      <c r="A245" t="str">
        <f>IFERROR(INDEX(Menu!$B$2:$B$500, MATCH(244, Menu!$L$2:$L$500, 0)),"")</f>
        <v/>
      </c>
      <c r="B245" t="str">
        <f>IF(A245="","",INDEX(Menu!$A$2:$A$500, MATCH(A245, Menu!$B$2:$B$500, 0)))</f>
        <v/>
      </c>
      <c r="C245" t="str">
        <f>IF(A245="","",INDEX(Menu!$D$2:$D$500, MATCH(A245, Menu!$B$2:$B$500, 0)))</f>
        <v/>
      </c>
      <c r="D245">
        <f>IF(A245="",0,COUNTIF('Guest Pre-Orders'!C2:F32,A245))</f>
        <v>0</v>
      </c>
      <c r="E245">
        <f>IF(A245="",0,SUMIF('Counts Pre-Orders'!B:B,A245,'Counts Pre-Orders'!D:D))</f>
        <v>0</v>
      </c>
      <c r="F245">
        <f t="shared" si="6"/>
        <v>0</v>
      </c>
      <c r="G245" t="e">
        <f t="shared" si="7"/>
        <v>#VALUE!</v>
      </c>
    </row>
    <row r="246" spans="1:7">
      <c r="A246" t="str">
        <f>IFERROR(INDEX(Menu!$B$2:$B$500, MATCH(245, Menu!$L$2:$L$500, 0)),"")</f>
        <v/>
      </c>
      <c r="B246" t="str">
        <f>IF(A246="","",INDEX(Menu!$A$2:$A$500, MATCH(A246, Menu!$B$2:$B$500, 0)))</f>
        <v/>
      </c>
      <c r="C246" t="str">
        <f>IF(A246="","",INDEX(Menu!$D$2:$D$500, MATCH(A246, Menu!$B$2:$B$500, 0)))</f>
        <v/>
      </c>
      <c r="D246">
        <f>IF(A246="",0,COUNTIF('Guest Pre-Orders'!C2:F32,A246))</f>
        <v>0</v>
      </c>
      <c r="E246">
        <f>IF(A246="",0,SUMIF('Counts Pre-Orders'!B:B,A246,'Counts Pre-Orders'!D:D))</f>
        <v>0</v>
      </c>
      <c r="F246">
        <f t="shared" si="6"/>
        <v>0</v>
      </c>
      <c r="G246" t="e">
        <f t="shared" si="7"/>
        <v>#VALUE!</v>
      </c>
    </row>
    <row r="247" spans="1:7">
      <c r="A247" t="str">
        <f>IFERROR(INDEX(Menu!$B$2:$B$500, MATCH(246, Menu!$L$2:$L$500, 0)),"")</f>
        <v/>
      </c>
      <c r="B247" t="str">
        <f>IF(A247="","",INDEX(Menu!$A$2:$A$500, MATCH(A247, Menu!$B$2:$B$500, 0)))</f>
        <v/>
      </c>
      <c r="C247" t="str">
        <f>IF(A247="","",INDEX(Menu!$D$2:$D$500, MATCH(A247, Menu!$B$2:$B$500, 0)))</f>
        <v/>
      </c>
      <c r="D247">
        <f>IF(A247="",0,COUNTIF('Guest Pre-Orders'!C2:F32,A247))</f>
        <v>0</v>
      </c>
      <c r="E247">
        <f>IF(A247="",0,SUMIF('Counts Pre-Orders'!B:B,A247,'Counts Pre-Orders'!D:D))</f>
        <v>0</v>
      </c>
      <c r="F247">
        <f t="shared" si="6"/>
        <v>0</v>
      </c>
      <c r="G247" t="e">
        <f t="shared" si="7"/>
        <v>#VALUE!</v>
      </c>
    </row>
    <row r="248" spans="1:7">
      <c r="A248" t="str">
        <f>IFERROR(INDEX(Menu!$B$2:$B$500, MATCH(247, Menu!$L$2:$L$500, 0)),"")</f>
        <v/>
      </c>
      <c r="B248" t="str">
        <f>IF(A248="","",INDEX(Menu!$A$2:$A$500, MATCH(A248, Menu!$B$2:$B$500, 0)))</f>
        <v/>
      </c>
      <c r="C248" t="str">
        <f>IF(A248="","",INDEX(Menu!$D$2:$D$500, MATCH(A248, Menu!$B$2:$B$500, 0)))</f>
        <v/>
      </c>
      <c r="D248">
        <f>IF(A248="",0,COUNTIF('Guest Pre-Orders'!C2:F32,A248))</f>
        <v>0</v>
      </c>
      <c r="E248">
        <f>IF(A248="",0,SUMIF('Counts Pre-Orders'!B:B,A248,'Counts Pre-Orders'!D:D))</f>
        <v>0</v>
      </c>
      <c r="F248">
        <f t="shared" si="6"/>
        <v>0</v>
      </c>
      <c r="G248" t="e">
        <f t="shared" si="7"/>
        <v>#VALUE!</v>
      </c>
    </row>
    <row r="249" spans="1:7">
      <c r="A249" t="str">
        <f>IFERROR(INDEX(Menu!$B$2:$B$500, MATCH(248, Menu!$L$2:$L$500, 0)),"")</f>
        <v/>
      </c>
      <c r="B249" t="str">
        <f>IF(A249="","",INDEX(Menu!$A$2:$A$500, MATCH(A249, Menu!$B$2:$B$500, 0)))</f>
        <v/>
      </c>
      <c r="C249" t="str">
        <f>IF(A249="","",INDEX(Menu!$D$2:$D$500, MATCH(A249, Menu!$B$2:$B$500, 0)))</f>
        <v/>
      </c>
      <c r="D249">
        <f>IF(A249="",0,COUNTIF('Guest Pre-Orders'!C2:F32,A249))</f>
        <v>0</v>
      </c>
      <c r="E249">
        <f>IF(A249="",0,SUMIF('Counts Pre-Orders'!B:B,A249,'Counts Pre-Orders'!D:D))</f>
        <v>0</v>
      </c>
      <c r="F249">
        <f t="shared" si="6"/>
        <v>0</v>
      </c>
      <c r="G249" t="e">
        <f t="shared" si="7"/>
        <v>#VALUE!</v>
      </c>
    </row>
    <row r="250" spans="1:7">
      <c r="A250" t="str">
        <f>IFERROR(INDEX(Menu!$B$2:$B$500, MATCH(249, Menu!$L$2:$L$500, 0)),"")</f>
        <v/>
      </c>
      <c r="B250" t="str">
        <f>IF(A250="","",INDEX(Menu!$A$2:$A$500, MATCH(A250, Menu!$B$2:$B$500, 0)))</f>
        <v/>
      </c>
      <c r="C250" t="str">
        <f>IF(A250="","",INDEX(Menu!$D$2:$D$500, MATCH(A250, Menu!$B$2:$B$500, 0)))</f>
        <v/>
      </c>
      <c r="D250">
        <f>IF(A250="",0,COUNTIF('Guest Pre-Orders'!C2:F32,A250))</f>
        <v>0</v>
      </c>
      <c r="E250">
        <f>IF(A250="",0,SUMIF('Counts Pre-Orders'!B:B,A250,'Counts Pre-Orders'!D:D))</f>
        <v>0</v>
      </c>
      <c r="F250">
        <f t="shared" si="6"/>
        <v>0</v>
      </c>
      <c r="G250" t="e">
        <f t="shared" si="7"/>
        <v>#VALUE!</v>
      </c>
    </row>
    <row r="251" spans="1:7">
      <c r="A251" t="str">
        <f>IFERROR(INDEX(Menu!$B$2:$B$500, MATCH(250, Menu!$L$2:$L$500, 0)),"")</f>
        <v/>
      </c>
      <c r="B251" t="str">
        <f>IF(A251="","",INDEX(Menu!$A$2:$A$500, MATCH(A251, Menu!$B$2:$B$500, 0)))</f>
        <v/>
      </c>
      <c r="C251" t="str">
        <f>IF(A251="","",INDEX(Menu!$D$2:$D$500, MATCH(A251, Menu!$B$2:$B$500, 0)))</f>
        <v/>
      </c>
      <c r="D251">
        <f>IF(A251="",0,COUNTIF('Guest Pre-Orders'!C2:F32,A251))</f>
        <v>0</v>
      </c>
      <c r="E251">
        <f>IF(A251="",0,SUMIF('Counts Pre-Orders'!B:B,A251,'Counts Pre-Orders'!D:D))</f>
        <v>0</v>
      </c>
      <c r="F251">
        <f t="shared" si="6"/>
        <v>0</v>
      </c>
      <c r="G251" t="e">
        <f t="shared" si="7"/>
        <v>#VALUE!</v>
      </c>
    </row>
    <row r="252" spans="1:7">
      <c r="A252" t="str">
        <f>IFERROR(INDEX(Menu!$B$2:$B$500, MATCH(251, Menu!$L$2:$L$500, 0)),"")</f>
        <v/>
      </c>
      <c r="B252" t="str">
        <f>IF(A252="","",INDEX(Menu!$A$2:$A$500, MATCH(A252, Menu!$B$2:$B$500, 0)))</f>
        <v/>
      </c>
      <c r="C252" t="str">
        <f>IF(A252="","",INDEX(Menu!$D$2:$D$500, MATCH(A252, Menu!$B$2:$B$500, 0)))</f>
        <v/>
      </c>
      <c r="D252">
        <f>IF(A252="",0,COUNTIF('Guest Pre-Orders'!C2:F32,A252))</f>
        <v>0</v>
      </c>
      <c r="E252">
        <f>IF(A252="",0,SUMIF('Counts Pre-Orders'!B:B,A252,'Counts Pre-Orders'!D:D))</f>
        <v>0</v>
      </c>
      <c r="F252">
        <f t="shared" si="6"/>
        <v>0</v>
      </c>
      <c r="G252" t="e">
        <f t="shared" si="7"/>
        <v>#VALUE!</v>
      </c>
    </row>
    <row r="253" spans="1:7">
      <c r="A253" t="str">
        <f>IFERROR(INDEX(Menu!$B$2:$B$500, MATCH(252, Menu!$L$2:$L$500, 0)),"")</f>
        <v/>
      </c>
      <c r="B253" t="str">
        <f>IF(A253="","",INDEX(Menu!$A$2:$A$500, MATCH(A253, Menu!$B$2:$B$500, 0)))</f>
        <v/>
      </c>
      <c r="C253" t="str">
        <f>IF(A253="","",INDEX(Menu!$D$2:$D$500, MATCH(A253, Menu!$B$2:$B$500, 0)))</f>
        <v/>
      </c>
      <c r="D253">
        <f>IF(A253="",0,COUNTIF('Guest Pre-Orders'!C2:F32,A253))</f>
        <v>0</v>
      </c>
      <c r="E253">
        <f>IF(A253="",0,SUMIF('Counts Pre-Orders'!B:B,A253,'Counts Pre-Orders'!D:D))</f>
        <v>0</v>
      </c>
      <c r="F253">
        <f t="shared" si="6"/>
        <v>0</v>
      </c>
      <c r="G253" t="e">
        <f t="shared" si="7"/>
        <v>#VALUE!</v>
      </c>
    </row>
    <row r="254" spans="1:7">
      <c r="A254" t="str">
        <f>IFERROR(INDEX(Menu!$B$2:$B$500, MATCH(253, Menu!$L$2:$L$500, 0)),"")</f>
        <v/>
      </c>
      <c r="B254" t="str">
        <f>IF(A254="","",INDEX(Menu!$A$2:$A$500, MATCH(A254, Menu!$B$2:$B$500, 0)))</f>
        <v/>
      </c>
      <c r="C254" t="str">
        <f>IF(A254="","",INDEX(Menu!$D$2:$D$500, MATCH(A254, Menu!$B$2:$B$500, 0)))</f>
        <v/>
      </c>
      <c r="D254">
        <f>IF(A254="",0,COUNTIF('Guest Pre-Orders'!C2:F32,A254))</f>
        <v>0</v>
      </c>
      <c r="E254">
        <f>IF(A254="",0,SUMIF('Counts Pre-Orders'!B:B,A254,'Counts Pre-Orders'!D:D))</f>
        <v>0</v>
      </c>
      <c r="F254">
        <f t="shared" si="6"/>
        <v>0</v>
      </c>
      <c r="G254" t="e">
        <f t="shared" si="7"/>
        <v>#VALUE!</v>
      </c>
    </row>
    <row r="255" spans="1:7">
      <c r="A255" t="str">
        <f>IFERROR(INDEX(Menu!$B$2:$B$500, MATCH(254, Menu!$L$2:$L$500, 0)),"")</f>
        <v/>
      </c>
      <c r="B255" t="str">
        <f>IF(A255="","",INDEX(Menu!$A$2:$A$500, MATCH(A255, Menu!$B$2:$B$500, 0)))</f>
        <v/>
      </c>
      <c r="C255" t="str">
        <f>IF(A255="","",INDEX(Menu!$D$2:$D$500, MATCH(A255, Menu!$B$2:$B$500, 0)))</f>
        <v/>
      </c>
      <c r="D255">
        <f>IF(A255="",0,COUNTIF('Guest Pre-Orders'!C2:F32,A255))</f>
        <v>0</v>
      </c>
      <c r="E255">
        <f>IF(A255="",0,SUMIF('Counts Pre-Orders'!B:B,A255,'Counts Pre-Orders'!D:D))</f>
        <v>0</v>
      </c>
      <c r="F255">
        <f t="shared" si="6"/>
        <v>0</v>
      </c>
      <c r="G255" t="e">
        <f t="shared" si="7"/>
        <v>#VALUE!</v>
      </c>
    </row>
    <row r="256" spans="1:7">
      <c r="A256" t="str">
        <f>IFERROR(INDEX(Menu!$B$2:$B$500, MATCH(255, Menu!$L$2:$L$500, 0)),"")</f>
        <v/>
      </c>
      <c r="B256" t="str">
        <f>IF(A256="","",INDEX(Menu!$A$2:$A$500, MATCH(A256, Menu!$B$2:$B$500, 0)))</f>
        <v/>
      </c>
      <c r="C256" t="str">
        <f>IF(A256="","",INDEX(Menu!$D$2:$D$500, MATCH(A256, Menu!$B$2:$B$500, 0)))</f>
        <v/>
      </c>
      <c r="D256">
        <f>IF(A256="",0,COUNTIF('Guest Pre-Orders'!C2:F32,A256))</f>
        <v>0</v>
      </c>
      <c r="E256">
        <f>IF(A256="",0,SUMIF('Counts Pre-Orders'!B:B,A256,'Counts Pre-Orders'!D:D))</f>
        <v>0</v>
      </c>
      <c r="F256">
        <f t="shared" si="6"/>
        <v>0</v>
      </c>
      <c r="G256" t="e">
        <f t="shared" si="7"/>
        <v>#VALUE!</v>
      </c>
    </row>
    <row r="257" spans="1:7">
      <c r="A257" t="str">
        <f>IFERROR(INDEX(Menu!$B$2:$B$500, MATCH(256, Menu!$L$2:$L$500, 0)),"")</f>
        <v/>
      </c>
      <c r="B257" t="str">
        <f>IF(A257="","",INDEX(Menu!$A$2:$A$500, MATCH(A257, Menu!$B$2:$B$500, 0)))</f>
        <v/>
      </c>
      <c r="C257" t="str">
        <f>IF(A257="","",INDEX(Menu!$D$2:$D$500, MATCH(A257, Menu!$B$2:$B$500, 0)))</f>
        <v/>
      </c>
      <c r="D257">
        <f>IF(A257="",0,COUNTIF('Guest Pre-Orders'!C2:F32,A257))</f>
        <v>0</v>
      </c>
      <c r="E257">
        <f>IF(A257="",0,SUMIF('Counts Pre-Orders'!B:B,A257,'Counts Pre-Orders'!D:D))</f>
        <v>0</v>
      </c>
      <c r="F257">
        <f t="shared" si="6"/>
        <v>0</v>
      </c>
      <c r="G257" t="e">
        <f t="shared" si="7"/>
        <v>#VALUE!</v>
      </c>
    </row>
    <row r="258" spans="1:7">
      <c r="A258" t="str">
        <f>IFERROR(INDEX(Menu!$B$2:$B$500, MATCH(257, Menu!$L$2:$L$500, 0)),"")</f>
        <v/>
      </c>
      <c r="B258" t="str">
        <f>IF(A258="","",INDEX(Menu!$A$2:$A$500, MATCH(A258, Menu!$B$2:$B$500, 0)))</f>
        <v/>
      </c>
      <c r="C258" t="str">
        <f>IF(A258="","",INDEX(Menu!$D$2:$D$500, MATCH(A258, Menu!$B$2:$B$500, 0)))</f>
        <v/>
      </c>
      <c r="D258">
        <f>IF(A258="",0,COUNTIF('Guest Pre-Orders'!C2:F32,A258))</f>
        <v>0</v>
      </c>
      <c r="E258">
        <f>IF(A258="",0,SUMIF('Counts Pre-Orders'!B:B,A258,'Counts Pre-Orders'!D:D))</f>
        <v>0</v>
      </c>
      <c r="F258">
        <f t="shared" ref="F258:F321" si="8">D258+E258</f>
        <v>0</v>
      </c>
      <c r="G258" t="e">
        <f t="shared" ref="G258:G321" si="9">F258*C258</f>
        <v>#VALUE!</v>
      </c>
    </row>
    <row r="259" spans="1:7">
      <c r="A259" t="str">
        <f>IFERROR(INDEX(Menu!$B$2:$B$500, MATCH(258, Menu!$L$2:$L$500, 0)),"")</f>
        <v/>
      </c>
      <c r="B259" t="str">
        <f>IF(A259="","",INDEX(Menu!$A$2:$A$500, MATCH(A259, Menu!$B$2:$B$500, 0)))</f>
        <v/>
      </c>
      <c r="C259" t="str">
        <f>IF(A259="","",INDEX(Menu!$D$2:$D$500, MATCH(A259, Menu!$B$2:$B$500, 0)))</f>
        <v/>
      </c>
      <c r="D259">
        <f>IF(A259="",0,COUNTIF('Guest Pre-Orders'!C2:F32,A259))</f>
        <v>0</v>
      </c>
      <c r="E259">
        <f>IF(A259="",0,SUMIF('Counts Pre-Orders'!B:B,A259,'Counts Pre-Orders'!D:D))</f>
        <v>0</v>
      </c>
      <c r="F259">
        <f t="shared" si="8"/>
        <v>0</v>
      </c>
      <c r="G259" t="e">
        <f t="shared" si="9"/>
        <v>#VALUE!</v>
      </c>
    </row>
    <row r="260" spans="1:7">
      <c r="A260" t="str">
        <f>IFERROR(INDEX(Menu!$B$2:$B$500, MATCH(259, Menu!$L$2:$L$500, 0)),"")</f>
        <v/>
      </c>
      <c r="B260" t="str">
        <f>IF(A260="","",INDEX(Menu!$A$2:$A$500, MATCH(A260, Menu!$B$2:$B$500, 0)))</f>
        <v/>
      </c>
      <c r="C260" t="str">
        <f>IF(A260="","",INDEX(Menu!$D$2:$D$500, MATCH(A260, Menu!$B$2:$B$500, 0)))</f>
        <v/>
      </c>
      <c r="D260">
        <f>IF(A260="",0,COUNTIF('Guest Pre-Orders'!C2:F32,A260))</f>
        <v>0</v>
      </c>
      <c r="E260">
        <f>IF(A260="",0,SUMIF('Counts Pre-Orders'!B:B,A260,'Counts Pre-Orders'!D:D))</f>
        <v>0</v>
      </c>
      <c r="F260">
        <f t="shared" si="8"/>
        <v>0</v>
      </c>
      <c r="G260" t="e">
        <f t="shared" si="9"/>
        <v>#VALUE!</v>
      </c>
    </row>
    <row r="261" spans="1:7">
      <c r="A261" t="str">
        <f>IFERROR(INDEX(Menu!$B$2:$B$500, MATCH(260, Menu!$L$2:$L$500, 0)),"")</f>
        <v/>
      </c>
      <c r="B261" t="str">
        <f>IF(A261="","",INDEX(Menu!$A$2:$A$500, MATCH(A261, Menu!$B$2:$B$500, 0)))</f>
        <v/>
      </c>
      <c r="C261" t="str">
        <f>IF(A261="","",INDEX(Menu!$D$2:$D$500, MATCH(A261, Menu!$B$2:$B$500, 0)))</f>
        <v/>
      </c>
      <c r="D261">
        <f>IF(A261="",0,COUNTIF('Guest Pre-Orders'!C2:F32,A261))</f>
        <v>0</v>
      </c>
      <c r="E261">
        <f>IF(A261="",0,SUMIF('Counts Pre-Orders'!B:B,A261,'Counts Pre-Orders'!D:D))</f>
        <v>0</v>
      </c>
      <c r="F261">
        <f t="shared" si="8"/>
        <v>0</v>
      </c>
      <c r="G261" t="e">
        <f t="shared" si="9"/>
        <v>#VALUE!</v>
      </c>
    </row>
    <row r="262" spans="1:7">
      <c r="A262" t="str">
        <f>IFERROR(INDEX(Menu!$B$2:$B$500, MATCH(261, Menu!$L$2:$L$500, 0)),"")</f>
        <v/>
      </c>
      <c r="B262" t="str">
        <f>IF(A262="","",INDEX(Menu!$A$2:$A$500, MATCH(A262, Menu!$B$2:$B$500, 0)))</f>
        <v/>
      </c>
      <c r="C262" t="str">
        <f>IF(A262="","",INDEX(Menu!$D$2:$D$500, MATCH(A262, Menu!$B$2:$B$500, 0)))</f>
        <v/>
      </c>
      <c r="D262">
        <f>IF(A262="",0,COUNTIF('Guest Pre-Orders'!C2:F32,A262))</f>
        <v>0</v>
      </c>
      <c r="E262">
        <f>IF(A262="",0,SUMIF('Counts Pre-Orders'!B:B,A262,'Counts Pre-Orders'!D:D))</f>
        <v>0</v>
      </c>
      <c r="F262">
        <f t="shared" si="8"/>
        <v>0</v>
      </c>
      <c r="G262" t="e">
        <f t="shared" si="9"/>
        <v>#VALUE!</v>
      </c>
    </row>
    <row r="263" spans="1:7">
      <c r="A263" t="str">
        <f>IFERROR(INDEX(Menu!$B$2:$B$500, MATCH(262, Menu!$L$2:$L$500, 0)),"")</f>
        <v/>
      </c>
      <c r="B263" t="str">
        <f>IF(A263="","",INDEX(Menu!$A$2:$A$500, MATCH(A263, Menu!$B$2:$B$500, 0)))</f>
        <v/>
      </c>
      <c r="C263" t="str">
        <f>IF(A263="","",INDEX(Menu!$D$2:$D$500, MATCH(A263, Menu!$B$2:$B$500, 0)))</f>
        <v/>
      </c>
      <c r="D263">
        <f>IF(A263="",0,COUNTIF('Guest Pre-Orders'!C2:F32,A263))</f>
        <v>0</v>
      </c>
      <c r="E263">
        <f>IF(A263="",0,SUMIF('Counts Pre-Orders'!B:B,A263,'Counts Pre-Orders'!D:D))</f>
        <v>0</v>
      </c>
      <c r="F263">
        <f t="shared" si="8"/>
        <v>0</v>
      </c>
      <c r="G263" t="e">
        <f t="shared" si="9"/>
        <v>#VALUE!</v>
      </c>
    </row>
    <row r="264" spans="1:7">
      <c r="A264" t="str">
        <f>IFERROR(INDEX(Menu!$B$2:$B$500, MATCH(263, Menu!$L$2:$L$500, 0)),"")</f>
        <v/>
      </c>
      <c r="B264" t="str">
        <f>IF(A264="","",INDEX(Menu!$A$2:$A$500, MATCH(A264, Menu!$B$2:$B$500, 0)))</f>
        <v/>
      </c>
      <c r="C264" t="str">
        <f>IF(A264="","",INDEX(Menu!$D$2:$D$500, MATCH(A264, Menu!$B$2:$B$500, 0)))</f>
        <v/>
      </c>
      <c r="D264">
        <f>IF(A264="",0,COUNTIF('Guest Pre-Orders'!C2:F32,A264))</f>
        <v>0</v>
      </c>
      <c r="E264">
        <f>IF(A264="",0,SUMIF('Counts Pre-Orders'!B:B,A264,'Counts Pre-Orders'!D:D))</f>
        <v>0</v>
      </c>
      <c r="F264">
        <f t="shared" si="8"/>
        <v>0</v>
      </c>
      <c r="G264" t="e">
        <f t="shared" si="9"/>
        <v>#VALUE!</v>
      </c>
    </row>
    <row r="265" spans="1:7">
      <c r="A265" t="str">
        <f>IFERROR(INDEX(Menu!$B$2:$B$500, MATCH(264, Menu!$L$2:$L$500, 0)),"")</f>
        <v/>
      </c>
      <c r="B265" t="str">
        <f>IF(A265="","",INDEX(Menu!$A$2:$A$500, MATCH(A265, Menu!$B$2:$B$500, 0)))</f>
        <v/>
      </c>
      <c r="C265" t="str">
        <f>IF(A265="","",INDEX(Menu!$D$2:$D$500, MATCH(A265, Menu!$B$2:$B$500, 0)))</f>
        <v/>
      </c>
      <c r="D265">
        <f>IF(A265="",0,COUNTIF('Guest Pre-Orders'!C2:F32,A265))</f>
        <v>0</v>
      </c>
      <c r="E265">
        <f>IF(A265="",0,SUMIF('Counts Pre-Orders'!B:B,A265,'Counts Pre-Orders'!D:D))</f>
        <v>0</v>
      </c>
      <c r="F265">
        <f t="shared" si="8"/>
        <v>0</v>
      </c>
      <c r="G265" t="e">
        <f t="shared" si="9"/>
        <v>#VALUE!</v>
      </c>
    </row>
    <row r="266" spans="1:7">
      <c r="A266" t="str">
        <f>IFERROR(INDEX(Menu!$B$2:$B$500, MATCH(265, Menu!$L$2:$L$500, 0)),"")</f>
        <v/>
      </c>
      <c r="B266" t="str">
        <f>IF(A266="","",INDEX(Menu!$A$2:$A$500, MATCH(A266, Menu!$B$2:$B$500, 0)))</f>
        <v/>
      </c>
      <c r="C266" t="str">
        <f>IF(A266="","",INDEX(Menu!$D$2:$D$500, MATCH(A266, Menu!$B$2:$B$500, 0)))</f>
        <v/>
      </c>
      <c r="D266">
        <f>IF(A266="",0,COUNTIF('Guest Pre-Orders'!C2:F32,A266))</f>
        <v>0</v>
      </c>
      <c r="E266">
        <f>IF(A266="",0,SUMIF('Counts Pre-Orders'!B:B,A266,'Counts Pre-Orders'!D:D))</f>
        <v>0</v>
      </c>
      <c r="F266">
        <f t="shared" si="8"/>
        <v>0</v>
      </c>
      <c r="G266" t="e">
        <f t="shared" si="9"/>
        <v>#VALUE!</v>
      </c>
    </row>
    <row r="267" spans="1:7">
      <c r="A267" t="str">
        <f>IFERROR(INDEX(Menu!$B$2:$B$500, MATCH(266, Menu!$L$2:$L$500, 0)),"")</f>
        <v/>
      </c>
      <c r="B267" t="str">
        <f>IF(A267="","",INDEX(Menu!$A$2:$A$500, MATCH(A267, Menu!$B$2:$B$500, 0)))</f>
        <v/>
      </c>
      <c r="C267" t="str">
        <f>IF(A267="","",INDEX(Menu!$D$2:$D$500, MATCH(A267, Menu!$B$2:$B$500, 0)))</f>
        <v/>
      </c>
      <c r="D267">
        <f>IF(A267="",0,COUNTIF('Guest Pre-Orders'!C2:F32,A267))</f>
        <v>0</v>
      </c>
      <c r="E267">
        <f>IF(A267="",0,SUMIF('Counts Pre-Orders'!B:B,A267,'Counts Pre-Orders'!D:D))</f>
        <v>0</v>
      </c>
      <c r="F267">
        <f t="shared" si="8"/>
        <v>0</v>
      </c>
      <c r="G267" t="e">
        <f t="shared" si="9"/>
        <v>#VALUE!</v>
      </c>
    </row>
    <row r="268" spans="1:7">
      <c r="A268" t="str">
        <f>IFERROR(INDEX(Menu!$B$2:$B$500, MATCH(267, Menu!$L$2:$L$500, 0)),"")</f>
        <v/>
      </c>
      <c r="B268" t="str">
        <f>IF(A268="","",INDEX(Menu!$A$2:$A$500, MATCH(A268, Menu!$B$2:$B$500, 0)))</f>
        <v/>
      </c>
      <c r="C268" t="str">
        <f>IF(A268="","",INDEX(Menu!$D$2:$D$500, MATCH(A268, Menu!$B$2:$B$500, 0)))</f>
        <v/>
      </c>
      <c r="D268">
        <f>IF(A268="",0,COUNTIF('Guest Pre-Orders'!C2:F32,A268))</f>
        <v>0</v>
      </c>
      <c r="E268">
        <f>IF(A268="",0,SUMIF('Counts Pre-Orders'!B:B,A268,'Counts Pre-Orders'!D:D))</f>
        <v>0</v>
      </c>
      <c r="F268">
        <f t="shared" si="8"/>
        <v>0</v>
      </c>
      <c r="G268" t="e">
        <f t="shared" si="9"/>
        <v>#VALUE!</v>
      </c>
    </row>
    <row r="269" spans="1:7">
      <c r="A269" t="str">
        <f>IFERROR(INDEX(Menu!$B$2:$B$500, MATCH(268, Menu!$L$2:$L$500, 0)),"")</f>
        <v/>
      </c>
      <c r="B269" t="str">
        <f>IF(A269="","",INDEX(Menu!$A$2:$A$500, MATCH(A269, Menu!$B$2:$B$500, 0)))</f>
        <v/>
      </c>
      <c r="C269" t="str">
        <f>IF(A269="","",INDEX(Menu!$D$2:$D$500, MATCH(A269, Menu!$B$2:$B$500, 0)))</f>
        <v/>
      </c>
      <c r="D269">
        <f>IF(A269="",0,COUNTIF('Guest Pre-Orders'!C2:F32,A269))</f>
        <v>0</v>
      </c>
      <c r="E269">
        <f>IF(A269="",0,SUMIF('Counts Pre-Orders'!B:B,A269,'Counts Pre-Orders'!D:D))</f>
        <v>0</v>
      </c>
      <c r="F269">
        <f t="shared" si="8"/>
        <v>0</v>
      </c>
      <c r="G269" t="e">
        <f t="shared" si="9"/>
        <v>#VALUE!</v>
      </c>
    </row>
    <row r="270" spans="1:7">
      <c r="A270" t="str">
        <f>IFERROR(INDEX(Menu!$B$2:$B$500, MATCH(269, Menu!$L$2:$L$500, 0)),"")</f>
        <v/>
      </c>
      <c r="B270" t="str">
        <f>IF(A270="","",INDEX(Menu!$A$2:$A$500, MATCH(A270, Menu!$B$2:$B$500, 0)))</f>
        <v/>
      </c>
      <c r="C270" t="str">
        <f>IF(A270="","",INDEX(Menu!$D$2:$D$500, MATCH(A270, Menu!$B$2:$B$500, 0)))</f>
        <v/>
      </c>
      <c r="D270">
        <f>IF(A270="",0,COUNTIF('Guest Pre-Orders'!C2:F32,A270))</f>
        <v>0</v>
      </c>
      <c r="E270">
        <f>IF(A270="",0,SUMIF('Counts Pre-Orders'!B:B,A270,'Counts Pre-Orders'!D:D))</f>
        <v>0</v>
      </c>
      <c r="F270">
        <f t="shared" si="8"/>
        <v>0</v>
      </c>
      <c r="G270" t="e">
        <f t="shared" si="9"/>
        <v>#VALUE!</v>
      </c>
    </row>
    <row r="271" spans="1:7">
      <c r="A271" t="str">
        <f>IFERROR(INDEX(Menu!$B$2:$B$500, MATCH(270, Menu!$L$2:$L$500, 0)),"")</f>
        <v/>
      </c>
      <c r="B271" t="str">
        <f>IF(A271="","",INDEX(Menu!$A$2:$A$500, MATCH(A271, Menu!$B$2:$B$500, 0)))</f>
        <v/>
      </c>
      <c r="C271" t="str">
        <f>IF(A271="","",INDEX(Menu!$D$2:$D$500, MATCH(A271, Menu!$B$2:$B$500, 0)))</f>
        <v/>
      </c>
      <c r="D271">
        <f>IF(A271="",0,COUNTIF('Guest Pre-Orders'!C2:F32,A271))</f>
        <v>0</v>
      </c>
      <c r="E271">
        <f>IF(A271="",0,SUMIF('Counts Pre-Orders'!B:B,A271,'Counts Pre-Orders'!D:D))</f>
        <v>0</v>
      </c>
      <c r="F271">
        <f t="shared" si="8"/>
        <v>0</v>
      </c>
      <c r="G271" t="e">
        <f t="shared" si="9"/>
        <v>#VALUE!</v>
      </c>
    </row>
    <row r="272" spans="1:7">
      <c r="A272" t="str">
        <f>IFERROR(INDEX(Menu!$B$2:$B$500, MATCH(271, Menu!$L$2:$L$500, 0)),"")</f>
        <v/>
      </c>
      <c r="B272" t="str">
        <f>IF(A272="","",INDEX(Menu!$A$2:$A$500, MATCH(A272, Menu!$B$2:$B$500, 0)))</f>
        <v/>
      </c>
      <c r="C272" t="str">
        <f>IF(A272="","",INDEX(Menu!$D$2:$D$500, MATCH(A272, Menu!$B$2:$B$500, 0)))</f>
        <v/>
      </c>
      <c r="D272">
        <f>IF(A272="",0,COUNTIF('Guest Pre-Orders'!C2:F32,A272))</f>
        <v>0</v>
      </c>
      <c r="E272">
        <f>IF(A272="",0,SUMIF('Counts Pre-Orders'!B:B,A272,'Counts Pre-Orders'!D:D))</f>
        <v>0</v>
      </c>
      <c r="F272">
        <f t="shared" si="8"/>
        <v>0</v>
      </c>
      <c r="G272" t="e">
        <f t="shared" si="9"/>
        <v>#VALUE!</v>
      </c>
    </row>
    <row r="273" spans="1:7">
      <c r="A273" t="str">
        <f>IFERROR(INDEX(Menu!$B$2:$B$500, MATCH(272, Menu!$L$2:$L$500, 0)),"")</f>
        <v/>
      </c>
      <c r="B273" t="str">
        <f>IF(A273="","",INDEX(Menu!$A$2:$A$500, MATCH(A273, Menu!$B$2:$B$500, 0)))</f>
        <v/>
      </c>
      <c r="C273" t="str">
        <f>IF(A273="","",INDEX(Menu!$D$2:$D$500, MATCH(A273, Menu!$B$2:$B$500, 0)))</f>
        <v/>
      </c>
      <c r="D273">
        <f>IF(A273="",0,COUNTIF('Guest Pre-Orders'!C2:F32,A273))</f>
        <v>0</v>
      </c>
      <c r="E273">
        <f>IF(A273="",0,SUMIF('Counts Pre-Orders'!B:B,A273,'Counts Pre-Orders'!D:D))</f>
        <v>0</v>
      </c>
      <c r="F273">
        <f t="shared" si="8"/>
        <v>0</v>
      </c>
      <c r="G273" t="e">
        <f t="shared" si="9"/>
        <v>#VALUE!</v>
      </c>
    </row>
    <row r="274" spans="1:7">
      <c r="A274" t="str">
        <f>IFERROR(INDEX(Menu!$B$2:$B$500, MATCH(273, Menu!$L$2:$L$500, 0)),"")</f>
        <v/>
      </c>
      <c r="B274" t="str">
        <f>IF(A274="","",INDEX(Menu!$A$2:$A$500, MATCH(A274, Menu!$B$2:$B$500, 0)))</f>
        <v/>
      </c>
      <c r="C274" t="str">
        <f>IF(A274="","",INDEX(Menu!$D$2:$D$500, MATCH(A274, Menu!$B$2:$B$500, 0)))</f>
        <v/>
      </c>
      <c r="D274">
        <f>IF(A274="",0,COUNTIF('Guest Pre-Orders'!C2:F32,A274))</f>
        <v>0</v>
      </c>
      <c r="E274">
        <f>IF(A274="",0,SUMIF('Counts Pre-Orders'!B:B,A274,'Counts Pre-Orders'!D:D))</f>
        <v>0</v>
      </c>
      <c r="F274">
        <f t="shared" si="8"/>
        <v>0</v>
      </c>
      <c r="G274" t="e">
        <f t="shared" si="9"/>
        <v>#VALUE!</v>
      </c>
    </row>
    <row r="275" spans="1:7">
      <c r="A275" t="str">
        <f>IFERROR(INDEX(Menu!$B$2:$B$500, MATCH(274, Menu!$L$2:$L$500, 0)),"")</f>
        <v/>
      </c>
      <c r="B275" t="str">
        <f>IF(A275="","",INDEX(Menu!$A$2:$A$500, MATCH(A275, Menu!$B$2:$B$500, 0)))</f>
        <v/>
      </c>
      <c r="C275" t="str">
        <f>IF(A275="","",INDEX(Menu!$D$2:$D$500, MATCH(A275, Menu!$B$2:$B$500, 0)))</f>
        <v/>
      </c>
      <c r="D275">
        <f>IF(A275="",0,COUNTIF('Guest Pre-Orders'!C2:F32,A275))</f>
        <v>0</v>
      </c>
      <c r="E275">
        <f>IF(A275="",0,SUMIF('Counts Pre-Orders'!B:B,A275,'Counts Pre-Orders'!D:D))</f>
        <v>0</v>
      </c>
      <c r="F275">
        <f t="shared" si="8"/>
        <v>0</v>
      </c>
      <c r="G275" t="e">
        <f t="shared" si="9"/>
        <v>#VALUE!</v>
      </c>
    </row>
    <row r="276" spans="1:7">
      <c r="A276" t="str">
        <f>IFERROR(INDEX(Menu!$B$2:$B$500, MATCH(275, Menu!$L$2:$L$500, 0)),"")</f>
        <v/>
      </c>
      <c r="B276" t="str">
        <f>IF(A276="","",INDEX(Menu!$A$2:$A$500, MATCH(A276, Menu!$B$2:$B$500, 0)))</f>
        <v/>
      </c>
      <c r="C276" t="str">
        <f>IF(A276="","",INDEX(Menu!$D$2:$D$500, MATCH(A276, Menu!$B$2:$B$500, 0)))</f>
        <v/>
      </c>
      <c r="D276">
        <f>IF(A276="",0,COUNTIF('Guest Pre-Orders'!C2:F32,A276))</f>
        <v>0</v>
      </c>
      <c r="E276">
        <f>IF(A276="",0,SUMIF('Counts Pre-Orders'!B:B,A276,'Counts Pre-Orders'!D:D))</f>
        <v>0</v>
      </c>
      <c r="F276">
        <f t="shared" si="8"/>
        <v>0</v>
      </c>
      <c r="G276" t="e">
        <f t="shared" si="9"/>
        <v>#VALUE!</v>
      </c>
    </row>
    <row r="277" spans="1:7">
      <c r="A277" t="str">
        <f>IFERROR(INDEX(Menu!$B$2:$B$500, MATCH(276, Menu!$L$2:$L$500, 0)),"")</f>
        <v/>
      </c>
      <c r="B277" t="str">
        <f>IF(A277="","",INDEX(Menu!$A$2:$A$500, MATCH(A277, Menu!$B$2:$B$500, 0)))</f>
        <v/>
      </c>
      <c r="C277" t="str">
        <f>IF(A277="","",INDEX(Menu!$D$2:$D$500, MATCH(A277, Menu!$B$2:$B$500, 0)))</f>
        <v/>
      </c>
      <c r="D277">
        <f>IF(A277="",0,COUNTIF('Guest Pre-Orders'!C2:F32,A277))</f>
        <v>0</v>
      </c>
      <c r="E277">
        <f>IF(A277="",0,SUMIF('Counts Pre-Orders'!B:B,A277,'Counts Pre-Orders'!D:D))</f>
        <v>0</v>
      </c>
      <c r="F277">
        <f t="shared" si="8"/>
        <v>0</v>
      </c>
      <c r="G277" t="e">
        <f t="shared" si="9"/>
        <v>#VALUE!</v>
      </c>
    </row>
    <row r="278" spans="1:7">
      <c r="A278" t="str">
        <f>IFERROR(INDEX(Menu!$B$2:$B$500, MATCH(277, Menu!$L$2:$L$500, 0)),"")</f>
        <v/>
      </c>
      <c r="B278" t="str">
        <f>IF(A278="","",INDEX(Menu!$A$2:$A$500, MATCH(A278, Menu!$B$2:$B$500, 0)))</f>
        <v/>
      </c>
      <c r="C278" t="str">
        <f>IF(A278="","",INDEX(Menu!$D$2:$D$500, MATCH(A278, Menu!$B$2:$B$500, 0)))</f>
        <v/>
      </c>
      <c r="D278">
        <f>IF(A278="",0,COUNTIF('Guest Pre-Orders'!C2:F32,A278))</f>
        <v>0</v>
      </c>
      <c r="E278">
        <f>IF(A278="",0,SUMIF('Counts Pre-Orders'!B:B,A278,'Counts Pre-Orders'!D:D))</f>
        <v>0</v>
      </c>
      <c r="F278">
        <f t="shared" si="8"/>
        <v>0</v>
      </c>
      <c r="G278" t="e">
        <f t="shared" si="9"/>
        <v>#VALUE!</v>
      </c>
    </row>
    <row r="279" spans="1:7">
      <c r="A279" t="str">
        <f>IFERROR(INDEX(Menu!$B$2:$B$500, MATCH(278, Menu!$L$2:$L$500, 0)),"")</f>
        <v/>
      </c>
      <c r="B279" t="str">
        <f>IF(A279="","",INDEX(Menu!$A$2:$A$500, MATCH(A279, Menu!$B$2:$B$500, 0)))</f>
        <v/>
      </c>
      <c r="C279" t="str">
        <f>IF(A279="","",INDEX(Menu!$D$2:$D$500, MATCH(A279, Menu!$B$2:$B$500, 0)))</f>
        <v/>
      </c>
      <c r="D279">
        <f>IF(A279="",0,COUNTIF('Guest Pre-Orders'!C2:F32,A279))</f>
        <v>0</v>
      </c>
      <c r="E279">
        <f>IF(A279="",0,SUMIF('Counts Pre-Orders'!B:B,A279,'Counts Pre-Orders'!D:D))</f>
        <v>0</v>
      </c>
      <c r="F279">
        <f t="shared" si="8"/>
        <v>0</v>
      </c>
      <c r="G279" t="e">
        <f t="shared" si="9"/>
        <v>#VALUE!</v>
      </c>
    </row>
    <row r="280" spans="1:7">
      <c r="A280" t="str">
        <f>IFERROR(INDEX(Menu!$B$2:$B$500, MATCH(279, Menu!$L$2:$L$500, 0)),"")</f>
        <v/>
      </c>
      <c r="B280" t="str">
        <f>IF(A280="","",INDEX(Menu!$A$2:$A$500, MATCH(A280, Menu!$B$2:$B$500, 0)))</f>
        <v/>
      </c>
      <c r="C280" t="str">
        <f>IF(A280="","",INDEX(Menu!$D$2:$D$500, MATCH(A280, Menu!$B$2:$B$500, 0)))</f>
        <v/>
      </c>
      <c r="D280">
        <f>IF(A280="",0,COUNTIF('Guest Pre-Orders'!C2:F32,A280))</f>
        <v>0</v>
      </c>
      <c r="E280">
        <f>IF(A280="",0,SUMIF('Counts Pre-Orders'!B:B,A280,'Counts Pre-Orders'!D:D))</f>
        <v>0</v>
      </c>
      <c r="F280">
        <f t="shared" si="8"/>
        <v>0</v>
      </c>
      <c r="G280" t="e">
        <f t="shared" si="9"/>
        <v>#VALUE!</v>
      </c>
    </row>
    <row r="281" spans="1:7">
      <c r="A281" t="str">
        <f>IFERROR(INDEX(Menu!$B$2:$B$500, MATCH(280, Menu!$L$2:$L$500, 0)),"")</f>
        <v/>
      </c>
      <c r="B281" t="str">
        <f>IF(A281="","",INDEX(Menu!$A$2:$A$500, MATCH(A281, Menu!$B$2:$B$500, 0)))</f>
        <v/>
      </c>
      <c r="C281" t="str">
        <f>IF(A281="","",INDEX(Menu!$D$2:$D$500, MATCH(A281, Menu!$B$2:$B$500, 0)))</f>
        <v/>
      </c>
      <c r="D281">
        <f>IF(A281="",0,COUNTIF('Guest Pre-Orders'!C2:F32,A281))</f>
        <v>0</v>
      </c>
      <c r="E281">
        <f>IF(A281="",0,SUMIF('Counts Pre-Orders'!B:B,A281,'Counts Pre-Orders'!D:D))</f>
        <v>0</v>
      </c>
      <c r="F281">
        <f t="shared" si="8"/>
        <v>0</v>
      </c>
      <c r="G281" t="e">
        <f t="shared" si="9"/>
        <v>#VALUE!</v>
      </c>
    </row>
    <row r="282" spans="1:7">
      <c r="A282" t="str">
        <f>IFERROR(INDEX(Menu!$B$2:$B$500, MATCH(281, Menu!$L$2:$L$500, 0)),"")</f>
        <v/>
      </c>
      <c r="B282" t="str">
        <f>IF(A282="","",INDEX(Menu!$A$2:$A$500, MATCH(A282, Menu!$B$2:$B$500, 0)))</f>
        <v/>
      </c>
      <c r="C282" t="str">
        <f>IF(A282="","",INDEX(Menu!$D$2:$D$500, MATCH(A282, Menu!$B$2:$B$500, 0)))</f>
        <v/>
      </c>
      <c r="D282">
        <f>IF(A282="",0,COUNTIF('Guest Pre-Orders'!C2:F32,A282))</f>
        <v>0</v>
      </c>
      <c r="E282">
        <f>IF(A282="",0,SUMIF('Counts Pre-Orders'!B:B,A282,'Counts Pre-Orders'!D:D))</f>
        <v>0</v>
      </c>
      <c r="F282">
        <f t="shared" si="8"/>
        <v>0</v>
      </c>
      <c r="G282" t="e">
        <f t="shared" si="9"/>
        <v>#VALUE!</v>
      </c>
    </row>
    <row r="283" spans="1:7">
      <c r="A283" t="str">
        <f>IFERROR(INDEX(Menu!$B$2:$B$500, MATCH(282, Menu!$L$2:$L$500, 0)),"")</f>
        <v/>
      </c>
      <c r="B283" t="str">
        <f>IF(A283="","",INDEX(Menu!$A$2:$A$500, MATCH(A283, Menu!$B$2:$B$500, 0)))</f>
        <v/>
      </c>
      <c r="C283" t="str">
        <f>IF(A283="","",INDEX(Menu!$D$2:$D$500, MATCH(A283, Menu!$B$2:$B$500, 0)))</f>
        <v/>
      </c>
      <c r="D283">
        <f>IF(A283="",0,COUNTIF('Guest Pre-Orders'!C2:F32,A283))</f>
        <v>0</v>
      </c>
      <c r="E283">
        <f>IF(A283="",0,SUMIF('Counts Pre-Orders'!B:B,A283,'Counts Pre-Orders'!D:D))</f>
        <v>0</v>
      </c>
      <c r="F283">
        <f t="shared" si="8"/>
        <v>0</v>
      </c>
      <c r="G283" t="e">
        <f t="shared" si="9"/>
        <v>#VALUE!</v>
      </c>
    </row>
    <row r="284" spans="1:7">
      <c r="A284" t="str">
        <f>IFERROR(INDEX(Menu!$B$2:$B$500, MATCH(283, Menu!$L$2:$L$500, 0)),"")</f>
        <v/>
      </c>
      <c r="B284" t="str">
        <f>IF(A284="","",INDEX(Menu!$A$2:$A$500, MATCH(A284, Menu!$B$2:$B$500, 0)))</f>
        <v/>
      </c>
      <c r="C284" t="str">
        <f>IF(A284="","",INDEX(Menu!$D$2:$D$500, MATCH(A284, Menu!$B$2:$B$500, 0)))</f>
        <v/>
      </c>
      <c r="D284">
        <f>IF(A284="",0,COUNTIF('Guest Pre-Orders'!C2:F32,A284))</f>
        <v>0</v>
      </c>
      <c r="E284">
        <f>IF(A284="",0,SUMIF('Counts Pre-Orders'!B:B,A284,'Counts Pre-Orders'!D:D))</f>
        <v>0</v>
      </c>
      <c r="F284">
        <f t="shared" si="8"/>
        <v>0</v>
      </c>
      <c r="G284" t="e">
        <f t="shared" si="9"/>
        <v>#VALUE!</v>
      </c>
    </row>
    <row r="285" spans="1:7">
      <c r="A285" t="str">
        <f>IFERROR(INDEX(Menu!$B$2:$B$500, MATCH(284, Menu!$L$2:$L$500, 0)),"")</f>
        <v/>
      </c>
      <c r="B285" t="str">
        <f>IF(A285="","",INDEX(Menu!$A$2:$A$500, MATCH(A285, Menu!$B$2:$B$500, 0)))</f>
        <v/>
      </c>
      <c r="C285" t="str">
        <f>IF(A285="","",INDEX(Menu!$D$2:$D$500, MATCH(A285, Menu!$B$2:$B$500, 0)))</f>
        <v/>
      </c>
      <c r="D285">
        <f>IF(A285="",0,COUNTIF('Guest Pre-Orders'!C2:F32,A285))</f>
        <v>0</v>
      </c>
      <c r="E285">
        <f>IF(A285="",0,SUMIF('Counts Pre-Orders'!B:B,A285,'Counts Pre-Orders'!D:D))</f>
        <v>0</v>
      </c>
      <c r="F285">
        <f t="shared" si="8"/>
        <v>0</v>
      </c>
      <c r="G285" t="e">
        <f t="shared" si="9"/>
        <v>#VALUE!</v>
      </c>
    </row>
    <row r="286" spans="1:7">
      <c r="A286" t="str">
        <f>IFERROR(INDEX(Menu!$B$2:$B$500, MATCH(285, Menu!$L$2:$L$500, 0)),"")</f>
        <v/>
      </c>
      <c r="B286" t="str">
        <f>IF(A286="","",INDEX(Menu!$A$2:$A$500, MATCH(A286, Menu!$B$2:$B$500, 0)))</f>
        <v/>
      </c>
      <c r="C286" t="str">
        <f>IF(A286="","",INDEX(Menu!$D$2:$D$500, MATCH(A286, Menu!$B$2:$B$500, 0)))</f>
        <v/>
      </c>
      <c r="D286">
        <f>IF(A286="",0,COUNTIF('Guest Pre-Orders'!C2:F32,A286))</f>
        <v>0</v>
      </c>
      <c r="E286">
        <f>IF(A286="",0,SUMIF('Counts Pre-Orders'!B:B,A286,'Counts Pre-Orders'!D:D))</f>
        <v>0</v>
      </c>
      <c r="F286">
        <f t="shared" si="8"/>
        <v>0</v>
      </c>
      <c r="G286" t="e">
        <f t="shared" si="9"/>
        <v>#VALUE!</v>
      </c>
    </row>
    <row r="287" spans="1:7">
      <c r="A287" t="str">
        <f>IFERROR(INDEX(Menu!$B$2:$B$500, MATCH(286, Menu!$L$2:$L$500, 0)),"")</f>
        <v/>
      </c>
      <c r="B287" t="str">
        <f>IF(A287="","",INDEX(Menu!$A$2:$A$500, MATCH(A287, Menu!$B$2:$B$500, 0)))</f>
        <v/>
      </c>
      <c r="C287" t="str">
        <f>IF(A287="","",INDEX(Menu!$D$2:$D$500, MATCH(A287, Menu!$B$2:$B$500, 0)))</f>
        <v/>
      </c>
      <c r="D287">
        <f>IF(A287="",0,COUNTIF('Guest Pre-Orders'!C2:F32,A287))</f>
        <v>0</v>
      </c>
      <c r="E287">
        <f>IF(A287="",0,SUMIF('Counts Pre-Orders'!B:B,A287,'Counts Pre-Orders'!D:D))</f>
        <v>0</v>
      </c>
      <c r="F287">
        <f t="shared" si="8"/>
        <v>0</v>
      </c>
      <c r="G287" t="e">
        <f t="shared" si="9"/>
        <v>#VALUE!</v>
      </c>
    </row>
    <row r="288" spans="1:7">
      <c r="A288" t="str">
        <f>IFERROR(INDEX(Menu!$B$2:$B$500, MATCH(287, Menu!$L$2:$L$500, 0)),"")</f>
        <v/>
      </c>
      <c r="B288" t="str">
        <f>IF(A288="","",INDEX(Menu!$A$2:$A$500, MATCH(A288, Menu!$B$2:$B$500, 0)))</f>
        <v/>
      </c>
      <c r="C288" t="str">
        <f>IF(A288="","",INDEX(Menu!$D$2:$D$500, MATCH(A288, Menu!$B$2:$B$500, 0)))</f>
        <v/>
      </c>
      <c r="D288">
        <f>IF(A288="",0,COUNTIF('Guest Pre-Orders'!C2:F32,A288))</f>
        <v>0</v>
      </c>
      <c r="E288">
        <f>IF(A288="",0,SUMIF('Counts Pre-Orders'!B:B,A288,'Counts Pre-Orders'!D:D))</f>
        <v>0</v>
      </c>
      <c r="F288">
        <f t="shared" si="8"/>
        <v>0</v>
      </c>
      <c r="G288" t="e">
        <f t="shared" si="9"/>
        <v>#VALUE!</v>
      </c>
    </row>
    <row r="289" spans="1:7">
      <c r="A289" t="str">
        <f>IFERROR(INDEX(Menu!$B$2:$B$500, MATCH(288, Menu!$L$2:$L$500, 0)),"")</f>
        <v/>
      </c>
      <c r="B289" t="str">
        <f>IF(A289="","",INDEX(Menu!$A$2:$A$500, MATCH(A289, Menu!$B$2:$B$500, 0)))</f>
        <v/>
      </c>
      <c r="C289" t="str">
        <f>IF(A289="","",INDEX(Menu!$D$2:$D$500, MATCH(A289, Menu!$B$2:$B$500, 0)))</f>
        <v/>
      </c>
      <c r="D289">
        <f>IF(A289="",0,COUNTIF('Guest Pre-Orders'!C2:F32,A289))</f>
        <v>0</v>
      </c>
      <c r="E289">
        <f>IF(A289="",0,SUMIF('Counts Pre-Orders'!B:B,A289,'Counts Pre-Orders'!D:D))</f>
        <v>0</v>
      </c>
      <c r="F289">
        <f t="shared" si="8"/>
        <v>0</v>
      </c>
      <c r="G289" t="e">
        <f t="shared" si="9"/>
        <v>#VALUE!</v>
      </c>
    </row>
    <row r="290" spans="1:7">
      <c r="A290" t="str">
        <f>IFERROR(INDEX(Menu!$B$2:$B$500, MATCH(289, Menu!$L$2:$L$500, 0)),"")</f>
        <v/>
      </c>
      <c r="B290" t="str">
        <f>IF(A290="","",INDEX(Menu!$A$2:$A$500, MATCH(A290, Menu!$B$2:$B$500, 0)))</f>
        <v/>
      </c>
      <c r="C290" t="str">
        <f>IF(A290="","",INDEX(Menu!$D$2:$D$500, MATCH(A290, Menu!$B$2:$B$500, 0)))</f>
        <v/>
      </c>
      <c r="D290">
        <f>IF(A290="",0,COUNTIF('Guest Pre-Orders'!C2:F32,A290))</f>
        <v>0</v>
      </c>
      <c r="E290">
        <f>IF(A290="",0,SUMIF('Counts Pre-Orders'!B:B,A290,'Counts Pre-Orders'!D:D))</f>
        <v>0</v>
      </c>
      <c r="F290">
        <f t="shared" si="8"/>
        <v>0</v>
      </c>
      <c r="G290" t="e">
        <f t="shared" si="9"/>
        <v>#VALUE!</v>
      </c>
    </row>
    <row r="291" spans="1:7">
      <c r="A291" t="str">
        <f>IFERROR(INDEX(Menu!$B$2:$B$500, MATCH(290, Menu!$L$2:$L$500, 0)),"")</f>
        <v/>
      </c>
      <c r="B291" t="str">
        <f>IF(A291="","",INDEX(Menu!$A$2:$A$500, MATCH(A291, Menu!$B$2:$B$500, 0)))</f>
        <v/>
      </c>
      <c r="C291" t="str">
        <f>IF(A291="","",INDEX(Menu!$D$2:$D$500, MATCH(A291, Menu!$B$2:$B$500, 0)))</f>
        <v/>
      </c>
      <c r="D291">
        <f>IF(A291="",0,COUNTIF('Guest Pre-Orders'!C2:F32,A291))</f>
        <v>0</v>
      </c>
      <c r="E291">
        <f>IF(A291="",0,SUMIF('Counts Pre-Orders'!B:B,A291,'Counts Pre-Orders'!D:D))</f>
        <v>0</v>
      </c>
      <c r="F291">
        <f t="shared" si="8"/>
        <v>0</v>
      </c>
      <c r="G291" t="e">
        <f t="shared" si="9"/>
        <v>#VALUE!</v>
      </c>
    </row>
    <row r="292" spans="1:7">
      <c r="A292" t="str">
        <f>IFERROR(INDEX(Menu!$B$2:$B$500, MATCH(291, Menu!$L$2:$L$500, 0)),"")</f>
        <v/>
      </c>
      <c r="B292" t="str">
        <f>IF(A292="","",INDEX(Menu!$A$2:$A$500, MATCH(A292, Menu!$B$2:$B$500, 0)))</f>
        <v/>
      </c>
      <c r="C292" t="str">
        <f>IF(A292="","",INDEX(Menu!$D$2:$D$500, MATCH(A292, Menu!$B$2:$B$500, 0)))</f>
        <v/>
      </c>
      <c r="D292">
        <f>IF(A292="",0,COUNTIF('Guest Pre-Orders'!C2:F32,A292))</f>
        <v>0</v>
      </c>
      <c r="E292">
        <f>IF(A292="",0,SUMIF('Counts Pre-Orders'!B:B,A292,'Counts Pre-Orders'!D:D))</f>
        <v>0</v>
      </c>
      <c r="F292">
        <f t="shared" si="8"/>
        <v>0</v>
      </c>
      <c r="G292" t="e">
        <f t="shared" si="9"/>
        <v>#VALUE!</v>
      </c>
    </row>
    <row r="293" spans="1:7">
      <c r="A293" t="str">
        <f>IFERROR(INDEX(Menu!$B$2:$B$500, MATCH(292, Menu!$L$2:$L$500, 0)),"")</f>
        <v/>
      </c>
      <c r="B293" t="str">
        <f>IF(A293="","",INDEX(Menu!$A$2:$A$500, MATCH(A293, Menu!$B$2:$B$500, 0)))</f>
        <v/>
      </c>
      <c r="C293" t="str">
        <f>IF(A293="","",INDEX(Menu!$D$2:$D$500, MATCH(A293, Menu!$B$2:$B$500, 0)))</f>
        <v/>
      </c>
      <c r="D293">
        <f>IF(A293="",0,COUNTIF('Guest Pre-Orders'!C2:F32,A293))</f>
        <v>0</v>
      </c>
      <c r="E293">
        <f>IF(A293="",0,SUMIF('Counts Pre-Orders'!B:B,A293,'Counts Pre-Orders'!D:D))</f>
        <v>0</v>
      </c>
      <c r="F293">
        <f t="shared" si="8"/>
        <v>0</v>
      </c>
      <c r="G293" t="e">
        <f t="shared" si="9"/>
        <v>#VALUE!</v>
      </c>
    </row>
    <row r="294" spans="1:7">
      <c r="A294" t="str">
        <f>IFERROR(INDEX(Menu!$B$2:$B$500, MATCH(293, Menu!$L$2:$L$500, 0)),"")</f>
        <v/>
      </c>
      <c r="B294" t="str">
        <f>IF(A294="","",INDEX(Menu!$A$2:$A$500, MATCH(A294, Menu!$B$2:$B$500, 0)))</f>
        <v/>
      </c>
      <c r="C294" t="str">
        <f>IF(A294="","",INDEX(Menu!$D$2:$D$500, MATCH(A294, Menu!$B$2:$B$500, 0)))</f>
        <v/>
      </c>
      <c r="D294">
        <f>IF(A294="",0,COUNTIF('Guest Pre-Orders'!C2:F32,A294))</f>
        <v>0</v>
      </c>
      <c r="E294">
        <f>IF(A294="",0,SUMIF('Counts Pre-Orders'!B:B,A294,'Counts Pre-Orders'!D:D))</f>
        <v>0</v>
      </c>
      <c r="F294">
        <f t="shared" si="8"/>
        <v>0</v>
      </c>
      <c r="G294" t="e">
        <f t="shared" si="9"/>
        <v>#VALUE!</v>
      </c>
    </row>
    <row r="295" spans="1:7">
      <c r="A295" t="str">
        <f>IFERROR(INDEX(Menu!$B$2:$B$500, MATCH(294, Menu!$L$2:$L$500, 0)),"")</f>
        <v/>
      </c>
      <c r="B295" t="str">
        <f>IF(A295="","",INDEX(Menu!$A$2:$A$500, MATCH(A295, Menu!$B$2:$B$500, 0)))</f>
        <v/>
      </c>
      <c r="C295" t="str">
        <f>IF(A295="","",INDEX(Menu!$D$2:$D$500, MATCH(A295, Menu!$B$2:$B$500, 0)))</f>
        <v/>
      </c>
      <c r="D295">
        <f>IF(A295="",0,COUNTIF('Guest Pre-Orders'!C2:F32,A295))</f>
        <v>0</v>
      </c>
      <c r="E295">
        <f>IF(A295="",0,SUMIF('Counts Pre-Orders'!B:B,A295,'Counts Pre-Orders'!D:D))</f>
        <v>0</v>
      </c>
      <c r="F295">
        <f t="shared" si="8"/>
        <v>0</v>
      </c>
      <c r="G295" t="e">
        <f t="shared" si="9"/>
        <v>#VALUE!</v>
      </c>
    </row>
    <row r="296" spans="1:7">
      <c r="A296" t="str">
        <f>IFERROR(INDEX(Menu!$B$2:$B$500, MATCH(295, Menu!$L$2:$L$500, 0)),"")</f>
        <v/>
      </c>
      <c r="B296" t="str">
        <f>IF(A296="","",INDEX(Menu!$A$2:$A$500, MATCH(A296, Menu!$B$2:$B$500, 0)))</f>
        <v/>
      </c>
      <c r="C296" t="str">
        <f>IF(A296="","",INDEX(Menu!$D$2:$D$500, MATCH(A296, Menu!$B$2:$B$500, 0)))</f>
        <v/>
      </c>
      <c r="D296">
        <f>IF(A296="",0,COUNTIF('Guest Pre-Orders'!C2:F32,A296))</f>
        <v>0</v>
      </c>
      <c r="E296">
        <f>IF(A296="",0,SUMIF('Counts Pre-Orders'!B:B,A296,'Counts Pre-Orders'!D:D))</f>
        <v>0</v>
      </c>
      <c r="F296">
        <f t="shared" si="8"/>
        <v>0</v>
      </c>
      <c r="G296" t="e">
        <f t="shared" si="9"/>
        <v>#VALUE!</v>
      </c>
    </row>
    <row r="297" spans="1:7">
      <c r="A297" t="str">
        <f>IFERROR(INDEX(Menu!$B$2:$B$500, MATCH(296, Menu!$L$2:$L$500, 0)),"")</f>
        <v/>
      </c>
      <c r="B297" t="str">
        <f>IF(A297="","",INDEX(Menu!$A$2:$A$500, MATCH(A297, Menu!$B$2:$B$500, 0)))</f>
        <v/>
      </c>
      <c r="C297" t="str">
        <f>IF(A297="","",INDEX(Menu!$D$2:$D$500, MATCH(A297, Menu!$B$2:$B$500, 0)))</f>
        <v/>
      </c>
      <c r="D297">
        <f>IF(A297="",0,COUNTIF('Guest Pre-Orders'!C2:F32,A297))</f>
        <v>0</v>
      </c>
      <c r="E297">
        <f>IF(A297="",0,SUMIF('Counts Pre-Orders'!B:B,A297,'Counts Pre-Orders'!D:D))</f>
        <v>0</v>
      </c>
      <c r="F297">
        <f t="shared" si="8"/>
        <v>0</v>
      </c>
      <c r="G297" t="e">
        <f t="shared" si="9"/>
        <v>#VALUE!</v>
      </c>
    </row>
    <row r="298" spans="1:7">
      <c r="A298" t="str">
        <f>IFERROR(INDEX(Menu!$B$2:$B$500, MATCH(297, Menu!$L$2:$L$500, 0)),"")</f>
        <v/>
      </c>
      <c r="B298" t="str">
        <f>IF(A298="","",INDEX(Menu!$A$2:$A$500, MATCH(A298, Menu!$B$2:$B$500, 0)))</f>
        <v/>
      </c>
      <c r="C298" t="str">
        <f>IF(A298="","",INDEX(Menu!$D$2:$D$500, MATCH(A298, Menu!$B$2:$B$500, 0)))</f>
        <v/>
      </c>
      <c r="D298">
        <f>IF(A298="",0,COUNTIF('Guest Pre-Orders'!C2:F32,A298))</f>
        <v>0</v>
      </c>
      <c r="E298">
        <f>IF(A298="",0,SUMIF('Counts Pre-Orders'!B:B,A298,'Counts Pre-Orders'!D:D))</f>
        <v>0</v>
      </c>
      <c r="F298">
        <f t="shared" si="8"/>
        <v>0</v>
      </c>
      <c r="G298" t="e">
        <f t="shared" si="9"/>
        <v>#VALUE!</v>
      </c>
    </row>
    <row r="299" spans="1:7">
      <c r="A299" t="str">
        <f>IFERROR(INDEX(Menu!$B$2:$B$500, MATCH(298, Menu!$L$2:$L$500, 0)),"")</f>
        <v/>
      </c>
      <c r="B299" t="str">
        <f>IF(A299="","",INDEX(Menu!$A$2:$A$500, MATCH(A299, Menu!$B$2:$B$500, 0)))</f>
        <v/>
      </c>
      <c r="C299" t="str">
        <f>IF(A299="","",INDEX(Menu!$D$2:$D$500, MATCH(A299, Menu!$B$2:$B$500, 0)))</f>
        <v/>
      </c>
      <c r="D299">
        <f>IF(A299="",0,COUNTIF('Guest Pre-Orders'!C2:F32,A299))</f>
        <v>0</v>
      </c>
      <c r="E299">
        <f>IF(A299="",0,SUMIF('Counts Pre-Orders'!B:B,A299,'Counts Pre-Orders'!D:D))</f>
        <v>0</v>
      </c>
      <c r="F299">
        <f t="shared" si="8"/>
        <v>0</v>
      </c>
      <c r="G299" t="e">
        <f t="shared" si="9"/>
        <v>#VALUE!</v>
      </c>
    </row>
    <row r="300" spans="1:7">
      <c r="A300" t="str">
        <f>IFERROR(INDEX(Menu!$B$2:$B$500, MATCH(299, Menu!$L$2:$L$500, 0)),"")</f>
        <v/>
      </c>
      <c r="B300" t="str">
        <f>IF(A300="","",INDEX(Menu!$A$2:$A$500, MATCH(A300, Menu!$B$2:$B$500, 0)))</f>
        <v/>
      </c>
      <c r="C300" t="str">
        <f>IF(A300="","",INDEX(Menu!$D$2:$D$500, MATCH(A300, Menu!$B$2:$B$500, 0)))</f>
        <v/>
      </c>
      <c r="D300">
        <f>IF(A300="",0,COUNTIF('Guest Pre-Orders'!C2:F32,A300))</f>
        <v>0</v>
      </c>
      <c r="E300">
        <f>IF(A300="",0,SUMIF('Counts Pre-Orders'!B:B,A300,'Counts Pre-Orders'!D:D))</f>
        <v>0</v>
      </c>
      <c r="F300">
        <f t="shared" si="8"/>
        <v>0</v>
      </c>
      <c r="G300" t="e">
        <f t="shared" si="9"/>
        <v>#VALUE!</v>
      </c>
    </row>
    <row r="301" spans="1:7">
      <c r="A301" t="str">
        <f>IFERROR(INDEX(Menu!$B$2:$B$500, MATCH(300, Menu!$L$2:$L$500, 0)),"")</f>
        <v/>
      </c>
      <c r="B301" t="str">
        <f>IF(A301="","",INDEX(Menu!$A$2:$A$500, MATCH(A301, Menu!$B$2:$B$500, 0)))</f>
        <v/>
      </c>
      <c r="C301" t="str">
        <f>IF(A301="","",INDEX(Menu!$D$2:$D$500, MATCH(A301, Menu!$B$2:$B$500, 0)))</f>
        <v/>
      </c>
      <c r="D301">
        <f>IF(A301="",0,COUNTIF('Guest Pre-Orders'!C2:F32,A301))</f>
        <v>0</v>
      </c>
      <c r="E301">
        <f>IF(A301="",0,SUMIF('Counts Pre-Orders'!B:B,A301,'Counts Pre-Orders'!D:D))</f>
        <v>0</v>
      </c>
      <c r="F301">
        <f t="shared" si="8"/>
        <v>0</v>
      </c>
      <c r="G301" t="e">
        <f t="shared" si="9"/>
        <v>#VALUE!</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1"/>
  <sheetViews>
    <sheetView workbookViewId="0">
      <pane ySplit="1" topLeftCell="A2" activePane="bottomLeft" state="frozen"/>
      <selection activeCell="A16" sqref="A16"/>
      <selection pane="bottomLeft" activeCell="A16" sqref="A16"/>
    </sheetView>
  </sheetViews>
  <sheetFormatPr defaultRowHeight="15"/>
  <cols>
    <col min="1" max="1" width="36" customWidth="1"/>
    <col min="2" max="2" width="22" customWidth="1"/>
  </cols>
  <sheetData>
    <row r="1" spans="1:2">
      <c r="A1" s="1" t="s">
        <v>70</v>
      </c>
      <c r="B1" s="1"/>
    </row>
    <row r="2" spans="1:2">
      <c r="A2" t="s">
        <v>71</v>
      </c>
      <c r="B2" t="e">
        <f>IF(Event!B11&gt;0, Event!B11*B10, SUM('Item Totals'!G2:G300))</f>
        <v>#VALUE!</v>
      </c>
    </row>
    <row r="3" spans="1:2">
      <c r="A3" t="s">
        <v>12</v>
      </c>
      <c r="B3">
        <f>Config!B4</f>
        <v>12.5</v>
      </c>
    </row>
    <row r="4" spans="1:2">
      <c r="A4" t="s">
        <v>72</v>
      </c>
      <c r="B4" t="e">
        <f>B2*B3/100</f>
        <v>#VALUE!</v>
      </c>
    </row>
    <row r="5" spans="1:2">
      <c r="A5" t="s">
        <v>73</v>
      </c>
      <c r="B5">
        <f>Config!B3</f>
        <v>20</v>
      </c>
    </row>
    <row r="6" spans="1:2">
      <c r="A6" t="s">
        <v>74</v>
      </c>
      <c r="B6" t="e">
        <f>B2*B5/100</f>
        <v>#VALUE!</v>
      </c>
    </row>
    <row r="7" spans="1:2">
      <c r="A7" t="s">
        <v>75</v>
      </c>
      <c r="B7" t="e">
        <f>B2+B4+B6</f>
        <v>#VALUE!</v>
      </c>
    </row>
    <row r="8" spans="1:2">
      <c r="A8" t="s">
        <v>76</v>
      </c>
      <c r="B8">
        <f>Config!B5</f>
        <v>0</v>
      </c>
    </row>
    <row r="9" spans="1:2">
      <c r="A9" t="s">
        <v>77</v>
      </c>
      <c r="B9" t="e">
        <f>B7-B8</f>
        <v>#VALUE!</v>
      </c>
    </row>
    <row r="10" spans="1:2">
      <c r="A10" t="s">
        <v>47</v>
      </c>
      <c r="B10">
        <f>Event!B8</f>
        <v>0</v>
      </c>
    </row>
    <row r="11" spans="1:2">
      <c r="A11" t="s">
        <v>78</v>
      </c>
      <c r="B11" t="str">
        <f>IF(B10&gt;0,B7/B10,"")</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Config</vt:lpstr>
      <vt:lpstr>Menu</vt:lpstr>
      <vt:lpstr>Lists</vt:lpstr>
      <vt:lpstr>Event</vt:lpstr>
      <vt:lpstr>Guest Pre-Orders</vt:lpstr>
      <vt:lpstr>Counts Pre-Orders</vt:lpstr>
      <vt:lpstr>Item Totals</vt:lpstr>
      <vt:lpstr>Summary</vt:lpstr>
      <vt:lpstr>Kitchen Prep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houman meshkati</cp:lastModifiedBy>
  <dcterms:created xsi:type="dcterms:W3CDTF">2025-11-04T16:44:26Z</dcterms:created>
  <dcterms:modified xsi:type="dcterms:W3CDTF">2025-11-04T19:27:20Z</dcterms:modified>
</cp:coreProperties>
</file>